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M_Grants Admin\Salary Cap Templates\"/>
    </mc:Choice>
  </mc:AlternateContent>
  <xr:revisionPtr revIDLastSave="0" documentId="13_ncr:1_{072C34DD-F671-43DE-8EB7-1260C71B4B03}" xr6:coauthVersionLast="47" xr6:coauthVersionMax="47" xr10:uidLastSave="{00000000-0000-0000-0000-000000000000}"/>
  <workbookProtection workbookAlgorithmName="SHA-512" workbookHashValue="w1+GS2Ogzo71GvvskIG77xms0U2Ay8BrsHWps8YEmLDr51O6y57d/LCRuoLg6idCp/S7ZnEcY86zvNRszloJNQ==" workbookSaltValue="t70pJvarVrhAJOLZMGms8Q==" workbookSpinCount="100000" lockStructure="1"/>
  <bookViews>
    <workbookView xWindow="-120" yWindow="-120" windowWidth="29040" windowHeight="15840" xr2:uid="{00000000-000D-0000-FFFF-FFFF00000000}"/>
  </bookViews>
  <sheets>
    <sheet name="NIH Cap" sheetId="1" r:id="rId1"/>
    <sheet name="NIH Cap Table" sheetId="2" r:id="rId2"/>
  </sheets>
  <definedNames>
    <definedName name="Calendar_Year__from_drop_down_list">'NIH Cap Table'!$A$2:$A$13:'NIH Cap'!$B$12</definedName>
    <definedName name="_xlnm.Print_Area" localSheetId="0">'NIH Cap'!$A$4:$J$91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1" l="1"/>
  <c r="B19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70" i="1"/>
  <c r="I71" i="1"/>
  <c r="I69" i="1"/>
  <c r="L83" i="1" l="1"/>
  <c r="J66" i="1"/>
  <c r="L84" i="1"/>
  <c r="C56" i="1"/>
  <c r="C60" i="1" s="1"/>
  <c r="B8" i="1"/>
  <c r="B17" i="1"/>
  <c r="B25" i="1" s="1"/>
  <c r="F25" i="1" s="1"/>
  <c r="L85" i="1" l="1"/>
  <c r="B29" i="1"/>
  <c r="B42" i="1"/>
  <c r="F42" i="1" s="1"/>
  <c r="B43" i="1"/>
  <c r="F43" i="1" s="1"/>
  <c r="B40" i="1"/>
  <c r="F40" i="1" s="1"/>
  <c r="B31" i="1"/>
  <c r="D31" i="1" s="1"/>
  <c r="B27" i="1"/>
  <c r="D27" i="1" s="1"/>
  <c r="B46" i="1"/>
  <c r="F46" i="1" s="1"/>
  <c r="B28" i="1"/>
  <c r="D28" i="1" s="1"/>
  <c r="F28" i="1" s="1"/>
  <c r="C61" i="1"/>
  <c r="B34" i="1"/>
  <c r="B45" i="1"/>
  <c r="F45" i="1" s="1"/>
  <c r="B30" i="1"/>
  <c r="B41" i="1"/>
  <c r="F41" i="1" s="1"/>
  <c r="B39" i="1"/>
  <c r="B24" i="1"/>
  <c r="F24" i="1" s="1"/>
  <c r="B32" i="1"/>
  <c r="B33" i="1"/>
  <c r="D33" i="1" s="1"/>
  <c r="F33" i="1" s="1"/>
  <c r="B44" i="1"/>
  <c r="F44" i="1" s="1"/>
  <c r="O83" i="1" l="1"/>
  <c r="Q83" i="1" s="1"/>
  <c r="O84" i="1" s="1"/>
  <c r="D29" i="1"/>
  <c r="F29" i="1" s="1"/>
  <c r="E28" i="1"/>
  <c r="F49" i="1" s="1"/>
  <c r="D32" i="1"/>
  <c r="F32" i="1" s="1"/>
  <c r="F39" i="1"/>
  <c r="B56" i="1"/>
  <c r="E27" i="1"/>
  <c r="F48" i="1" s="1"/>
  <c r="F27" i="1"/>
  <c r="E33" i="1"/>
  <c r="F54" i="1" s="1"/>
  <c r="F31" i="1"/>
  <c r="E31" i="1"/>
  <c r="F52" i="1" s="1"/>
  <c r="D34" i="1"/>
  <c r="F34" i="1" s="1"/>
  <c r="D30" i="1"/>
  <c r="F30" i="1" s="1"/>
  <c r="E29" i="1" l="1"/>
  <c r="F50" i="1" s="1"/>
  <c r="E34" i="1"/>
  <c r="F55" i="1" s="1"/>
  <c r="E32" i="1"/>
  <c r="F53" i="1" s="1"/>
  <c r="B61" i="1"/>
  <c r="B60" i="1"/>
  <c r="E30" i="1"/>
  <c r="F51" i="1" s="1"/>
  <c r="F56" i="1" l="1"/>
  <c r="F60" i="1" s="1"/>
  <c r="G34" i="1" l="1"/>
  <c r="G31" i="1"/>
  <c r="G24" i="1"/>
  <c r="I24" i="1" s="1"/>
  <c r="G33" i="1"/>
  <c r="G52" i="1"/>
  <c r="G54" i="1"/>
  <c r="G53" i="1"/>
  <c r="G51" i="1"/>
  <c r="G32" i="1"/>
  <c r="G41" i="1"/>
  <c r="G44" i="1"/>
  <c r="G45" i="1"/>
  <c r="G27" i="1"/>
  <c r="G28" i="1"/>
  <c r="G43" i="1"/>
  <c r="G40" i="1"/>
  <c r="G50" i="1"/>
  <c r="G25" i="1"/>
  <c r="G29" i="1"/>
  <c r="G48" i="1"/>
  <c r="G42" i="1"/>
  <c r="G46" i="1"/>
  <c r="F61" i="1"/>
  <c r="G30" i="1"/>
  <c r="G55" i="1"/>
  <c r="G49" i="1"/>
  <c r="I43" i="1" l="1"/>
  <c r="J43" i="1" s="1"/>
  <c r="I51" i="1"/>
  <c r="J51" i="1" s="1"/>
  <c r="I27" i="1"/>
  <c r="J27" i="1" s="1"/>
  <c r="I53" i="1"/>
  <c r="J53" i="1" s="1"/>
  <c r="I45" i="1"/>
  <c r="J45" i="1" s="1"/>
  <c r="I49" i="1"/>
  <c r="J49" i="1" s="1"/>
  <c r="I55" i="1"/>
  <c r="J55" i="1" s="1"/>
  <c r="I46" i="1"/>
  <c r="J46" i="1" s="1"/>
  <c r="I52" i="1"/>
  <c r="J52" i="1" s="1"/>
  <c r="I28" i="1"/>
  <c r="J28" i="1" s="1"/>
  <c r="I41" i="1"/>
  <c r="J41" i="1" s="1"/>
  <c r="I30" i="1"/>
  <c r="J30" i="1" s="1"/>
  <c r="I54" i="1"/>
  <c r="J54" i="1" s="1"/>
  <c r="I42" i="1"/>
  <c r="J42" i="1" s="1"/>
  <c r="I48" i="1"/>
  <c r="J48" i="1" s="1"/>
  <c r="I39" i="1"/>
  <c r="J39" i="1" s="1"/>
  <c r="I29" i="1"/>
  <c r="J29" i="1" s="1"/>
  <c r="I33" i="1"/>
  <c r="J33" i="1" s="1"/>
  <c r="I44" i="1"/>
  <c r="J44" i="1" s="1"/>
  <c r="I32" i="1"/>
  <c r="J32" i="1" s="1"/>
  <c r="I25" i="1"/>
  <c r="I50" i="1"/>
  <c r="J50" i="1" s="1"/>
  <c r="I31" i="1"/>
  <c r="J31" i="1" s="1"/>
  <c r="I40" i="1"/>
  <c r="J40" i="1" s="1"/>
  <c r="I34" i="1"/>
  <c r="J34" i="1" s="1"/>
  <c r="G56" i="1"/>
  <c r="I56" i="1" l="1"/>
  <c r="I60" i="1" s="1"/>
  <c r="J25" i="1"/>
  <c r="J24" i="1"/>
  <c r="I62" i="1" l="1"/>
  <c r="I61" i="1"/>
  <c r="J56" i="1"/>
  <c r="Q84" i="1"/>
  <c r="G88" i="1" s="1"/>
  <c r="I88" i="1" s="1"/>
  <c r="G89" i="1"/>
  <c r="I89" i="1" l="1"/>
  <c r="J89" i="1"/>
  <c r="K89" i="1"/>
  <c r="G91" i="1"/>
  <c r="L87" i="1" l="1"/>
  <c r="I9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Emily Murphy</author>
    <author>bphelps</author>
    <author>Ashley Lawson</author>
  </authors>
  <commentList>
    <comment ref="D1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Emily Murph: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DO NOT USE</t>
        </r>
      </text>
    </comment>
    <comment ref="B19" authorId="1" shapeId="0" xr:uid="{00000000-0006-0000-0000-000002000000}">
      <text>
        <r>
          <rPr>
            <b/>
            <sz val="8"/>
            <color indexed="81"/>
            <rFont val="Tahoma"/>
            <family val="2"/>
          </rPr>
          <t>Current year cap limit populates when you input calendar year desired</t>
        </r>
      </text>
    </comment>
    <comment ref="D1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Emily Murph: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DO NOT USE</t>
        </r>
      </text>
    </comment>
    <comment ref="C23" authorId="1" shapeId="0" xr:uid="{00000000-0006-0000-0000-000004000000}">
      <text>
        <r>
          <rPr>
            <b/>
            <sz val="8"/>
            <color indexed="81"/>
            <rFont val="Tahoma"/>
            <family val="2"/>
          </rPr>
          <t>current effort that person is working at time of this change, do not consider the NIH overage account % when inputting effort for this column.</t>
        </r>
      </text>
    </comment>
    <comment ref="L85" authorId="2" shapeId="0" xr:uid="{00000000-0006-0000-0000-000005000000}">
      <text>
        <r>
          <rPr>
            <b/>
            <sz val="9"/>
            <color indexed="81"/>
            <rFont val="Tahoma"/>
            <family val="2"/>
          </rPr>
          <t>Ashley Lawson:</t>
        </r>
        <r>
          <rPr>
            <sz val="9"/>
            <color indexed="81"/>
            <rFont val="Tahoma"/>
            <family val="2"/>
          </rPr>
          <t xml:space="preserve">
Effort in cell H25 will automatically round to nearest amount to get to this number. </t>
        </r>
      </text>
    </comment>
  </commentList>
</comments>
</file>

<file path=xl/sharedStrings.xml><?xml version="1.0" encoding="utf-8"?>
<sst xmlns="http://schemas.openxmlformats.org/spreadsheetml/2006/main" count="73" uniqueCount="72">
  <si>
    <t>University of South Alabama</t>
  </si>
  <si>
    <t>College of Medicine</t>
  </si>
  <si>
    <t>Current Date:</t>
  </si>
  <si>
    <t>Name of Employee:</t>
  </si>
  <si>
    <t>Institutional Based Salary:</t>
  </si>
  <si>
    <t>FTE:</t>
  </si>
  <si>
    <t>Salary Adjusted for FTE:</t>
  </si>
  <si>
    <t>NIH Salary Cap Adjusted for FTE:</t>
  </si>
  <si>
    <t>State Fund Number</t>
  </si>
  <si>
    <t>Percentage of Effort</t>
  </si>
  <si>
    <t>Salary Cap Reallocation</t>
  </si>
  <si>
    <t>Non-NIH Fund Number</t>
  </si>
  <si>
    <t>NIH Overage Fund Number</t>
  </si>
  <si>
    <t>Totals</t>
  </si>
  <si>
    <t>Calendar Year</t>
  </si>
  <si>
    <t>Cap</t>
  </si>
  <si>
    <t>?????</t>
  </si>
  <si>
    <r>
      <t>NIH Fund Number (</t>
    </r>
    <r>
      <rPr>
        <b/>
        <i/>
        <sz val="10"/>
        <rFont val="Arial"/>
        <family val="2"/>
      </rPr>
      <t>For column D calendar year</t>
    </r>
    <r>
      <rPr>
        <b/>
        <sz val="10"/>
        <rFont val="Arial"/>
        <family val="2"/>
      </rPr>
      <t xml:space="preserve">) </t>
    </r>
  </si>
  <si>
    <r>
      <t>NIH Fund Number (</t>
    </r>
    <r>
      <rPr>
        <b/>
        <i/>
        <sz val="10"/>
        <rFont val="Arial"/>
        <family val="2"/>
      </rPr>
      <t>For column B calendar year</t>
    </r>
    <r>
      <rPr>
        <b/>
        <sz val="10"/>
        <rFont val="Arial"/>
        <family val="2"/>
      </rPr>
      <t>)</t>
    </r>
  </si>
  <si>
    <t>Salary Amount To PA</t>
  </si>
  <si>
    <t xml:space="preserve">Instructions: Only key cells highlighted in yellow.  The red numbers represent figures to be applied to the NIH overage account 610920. Input </t>
  </si>
  <si>
    <t>Original Allocation</t>
  </si>
  <si>
    <t>Salary Cap Overage</t>
  </si>
  <si>
    <t>Approximate Amount for PA</t>
  </si>
  <si>
    <t xml:space="preserve">Approximate Percentage of Effort </t>
  </si>
  <si>
    <t>Rounded Percentage of Effort To PA</t>
  </si>
  <si>
    <t>CHECK FOR WARNINGS BELOW:</t>
  </si>
  <si>
    <t>Post To PA</t>
  </si>
  <si>
    <t xml:space="preserve">the total NIH overage to the PA using the department's research fund. If the total % in column I does not total to 100%, make a manual </t>
  </si>
  <si>
    <t>Prepared By:</t>
  </si>
  <si>
    <r>
      <t>Calendar Year (</t>
    </r>
    <r>
      <rPr>
        <b/>
        <sz val="10"/>
        <rFont val="Arial"/>
        <family val="2"/>
      </rPr>
      <t>from drop down list</t>
    </r>
    <r>
      <rPr>
        <b/>
        <sz val="11"/>
        <rFont val="Arial"/>
        <family val="2"/>
      </rPr>
      <t>):</t>
    </r>
  </si>
  <si>
    <t>adjustment to cell I46 by adding or subtracting .0001 at the end of the formula. This spreadsheet can be used for multiple year salary cap.</t>
  </si>
  <si>
    <t>at least through March 27, 2013, per NOT-OD-13-018</t>
  </si>
  <si>
    <t>Effective January 12, 2014, Reference NOT-OD-14-043</t>
  </si>
  <si>
    <t xml:space="preserve">Effective January 11, 2015, Reference NOT-OD-15-049 </t>
  </si>
  <si>
    <t xml:space="preserve">Effective January 10, 2016, Reference NOT-OD-16-045 </t>
  </si>
  <si>
    <t>Effective January 08, 2017</t>
  </si>
  <si>
    <t>Effective January 07, 2018, Reference NOT-OD-18-137</t>
  </si>
  <si>
    <t>Effective January 6, 2019, Reference NOT-OD-19-099</t>
  </si>
  <si>
    <t>Effective January 5, 2020, Reference NOT-OD-20-065</t>
  </si>
  <si>
    <t>Effective January 2, 2022, Reference NOT-OD-22-076</t>
  </si>
  <si>
    <t>Effective January 3, 2021, Reference NOT-OD-21-057</t>
  </si>
  <si>
    <t xml:space="preserve">Info for section 4 of PA: </t>
  </si>
  <si>
    <t>Salary</t>
  </si>
  <si>
    <t xml:space="preserve">COM BUDGET THRESHOLDS: </t>
  </si>
  <si>
    <t xml:space="preserve">Color coded directions: </t>
  </si>
  <si>
    <t>Assistant Professor</t>
  </si>
  <si>
    <t xml:space="preserve">Enter the IBS. </t>
  </si>
  <si>
    <t>Associate Professor</t>
  </si>
  <si>
    <t xml:space="preserve">Enter threshold amount </t>
  </si>
  <si>
    <t>Professor</t>
  </si>
  <si>
    <t xml:space="preserve">Enter grant fund Numbers and effort </t>
  </si>
  <si>
    <t>as of 10/01/2021</t>
  </si>
  <si>
    <t xml:space="preserve">Enter COM fund Numbers and effort. </t>
  </si>
  <si>
    <t xml:space="preserve">   If none, clear these cells.</t>
  </si>
  <si>
    <t>Make sure total is at 100%.</t>
  </si>
  <si>
    <t>State efforts are auto-calculated for you.</t>
  </si>
  <si>
    <t>Send ALL PA's with fund 114000 effort changes to Theresa McLaughlin tbmclaughlin@health.southalabama.edu.</t>
  </si>
  <si>
    <t xml:space="preserve">DOLLAR CHECKS: </t>
  </si>
  <si>
    <t xml:space="preserve">EFFORT CHECKS: </t>
  </si>
  <si>
    <t xml:space="preserve">   Threshold: </t>
  </si>
  <si>
    <t>Effort for 112000</t>
  </si>
  <si>
    <t xml:space="preserve">   Total grants: </t>
  </si>
  <si>
    <t>Effort for 114000</t>
  </si>
  <si>
    <t>Amount on 112000 fund</t>
  </si>
  <si>
    <t xml:space="preserve">   If applicable, Salary minus grants, COM funds, and 112000: </t>
  </si>
  <si>
    <t>Amount on 114000 fund</t>
  </si>
  <si>
    <t>Revised 10/01/2021 (AL)</t>
  </si>
  <si>
    <t>MCI Effort Worksheet</t>
  </si>
  <si>
    <t>NIH Salary Cap Template &amp; MCI Effort Worksheet</t>
  </si>
  <si>
    <t>Effective January 1, 2022, Reference NOT-HS-23-005</t>
  </si>
  <si>
    <t>Effective January 1, 2024, Reference NOT-OD-24-039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</si>
</sst>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0.0"/>
    <numFmt numFmtId="166" formatCode="&quot;$&quot;#,##0.00"/>
    <numFmt numFmtId="167" formatCode="&quot;$&quot;#,##0"/>
  </numFmts>
  <fonts count="47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5" tint="-0.499984740745262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5" tint="-0.499984740745262"/>
      <name val="Arial"/>
      <family val="2"/>
    </font>
    <font>
      <sz val="10"/>
      <color rgb="FF333333"/>
      <name val="Helvetica"/>
    </font>
    <font>
      <u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0"/>
      <color theme="4" tint="-0.249977111117893"/>
      <name val="Arial"/>
      <family val="2"/>
    </font>
    <font>
      <i/>
      <sz val="9"/>
      <name val="Arial"/>
      <family val="2"/>
    </font>
    <font>
      <i/>
      <sz val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5E5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BDBF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5" fillId="0" borderId="0"/>
    <xf numFmtId="0" fontId="5" fillId="23" borderId="7" applyNumberFormat="0" applyFont="0" applyAlignment="0" applyProtection="0"/>
    <xf numFmtId="0" fontId="26" fillId="20" borderId="8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244">
    <xf numFmtId="0" fontId="0" fillId="0" borderId="0" xfId="0"/>
    <xf numFmtId="10" fontId="0" fillId="0" borderId="0" xfId="0" applyNumberFormat="1"/>
    <xf numFmtId="0" fontId="3" fillId="0" borderId="0" xfId="0" applyNumberFormat="1" applyFont="1"/>
    <xf numFmtId="10" fontId="0" fillId="0" borderId="0" xfId="0" applyNumberFormat="1" applyProtection="1"/>
    <xf numFmtId="0" fontId="0" fillId="0" borderId="0" xfId="0" applyProtection="1"/>
    <xf numFmtId="0" fontId="5" fillId="0" borderId="0" xfId="0" applyFont="1" applyProtection="1"/>
    <xf numFmtId="0" fontId="0" fillId="0" borderId="0" xfId="0" quotePrefix="1" applyAlignment="1" applyProtection="1">
      <alignment horizontal="left"/>
    </xf>
    <xf numFmtId="43" fontId="4" fillId="0" borderId="0" xfId="0" quotePrefix="1" applyNumberFormat="1" applyFont="1" applyAlignment="1" applyProtection="1">
      <alignment horizontal="left"/>
    </xf>
    <xf numFmtId="49" fontId="4" fillId="0" borderId="0" xfId="0" applyNumberFormat="1" applyFont="1" applyProtection="1"/>
    <xf numFmtId="0" fontId="4" fillId="0" borderId="0" xfId="0" applyFont="1" applyProtection="1"/>
    <xf numFmtId="2" fontId="4" fillId="0" borderId="0" xfId="0" applyNumberFormat="1" applyFont="1" applyProtection="1"/>
    <xf numFmtId="39" fontId="5" fillId="0" borderId="10" xfId="29" applyNumberFormat="1" applyFont="1" applyFill="1" applyBorder="1" applyProtection="1"/>
    <xf numFmtId="0" fontId="6" fillId="0" borderId="0" xfId="0" applyFont="1" applyBorder="1" applyAlignment="1">
      <alignment horizontal="center"/>
    </xf>
    <xf numFmtId="10" fontId="4" fillId="0" borderId="0" xfId="0" applyNumberFormat="1" applyFont="1" applyProtection="1"/>
    <xf numFmtId="44" fontId="5" fillId="0" borderId="10" xfId="29" applyFont="1" applyFill="1" applyBorder="1" applyProtection="1"/>
    <xf numFmtId="0" fontId="0" fillId="0" borderId="0" xfId="0" applyBorder="1"/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0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1" xfId="0" applyNumberFormat="1" applyFont="1" applyFill="1" applyBorder="1" applyAlignment="1" applyProtection="1">
      <alignment horizontal="center"/>
    </xf>
    <xf numFmtId="0" fontId="3" fillId="0" borderId="11" xfId="0" applyFont="1" applyBorder="1" applyAlignment="1">
      <alignment horizontal="center"/>
    </xf>
    <xf numFmtId="10" fontId="3" fillId="0" borderId="11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39" fontId="5" fillId="0" borderId="10" xfId="28" applyNumberFormat="1" applyFont="1" applyFill="1" applyBorder="1"/>
    <xf numFmtId="39" fontId="0" fillId="0" borderId="10" xfId="0" applyNumberFormat="1" applyFill="1" applyBorder="1" applyProtection="1"/>
    <xf numFmtId="164" fontId="0" fillId="0" borderId="10" xfId="42" applyNumberFormat="1" applyFont="1" applyBorder="1" applyProtection="1"/>
    <xf numFmtId="39" fontId="0" fillId="0" borderId="12" xfId="0" applyNumberFormat="1" applyFill="1" applyBorder="1" applyProtection="1"/>
    <xf numFmtId="164" fontId="0" fillId="0" borderId="12" xfId="42" applyNumberFormat="1" applyFont="1" applyBorder="1" applyProtection="1"/>
    <xf numFmtId="39" fontId="1" fillId="0" borderId="10" xfId="28" applyNumberFormat="1" applyFont="1" applyFill="1" applyBorder="1"/>
    <xf numFmtId="39" fontId="9" fillId="0" borderId="10" xfId="28" applyNumberFormat="1" applyFont="1" applyBorder="1"/>
    <xf numFmtId="39" fontId="4" fillId="0" borderId="10" xfId="28" applyNumberFormat="1" applyFont="1" applyBorder="1"/>
    <xf numFmtId="39" fontId="1" fillId="0" borderId="13" xfId="28" applyNumberFormat="1" applyFont="1" applyFill="1" applyBorder="1" applyAlignment="1"/>
    <xf numFmtId="39" fontId="5" fillId="0" borderId="13" xfId="28" applyNumberFormat="1" applyFont="1" applyFill="1" applyBorder="1" applyProtection="1"/>
    <xf numFmtId="164" fontId="0" fillId="0" borderId="13" xfId="42" applyNumberFormat="1" applyFont="1" applyBorder="1" applyProtection="1"/>
    <xf numFmtId="39" fontId="1" fillId="0" borderId="10" xfId="28" applyNumberFormat="1" applyFont="1" applyFill="1" applyBorder="1" applyAlignment="1"/>
    <xf numFmtId="39" fontId="5" fillId="0" borderId="10" xfId="28" applyNumberFormat="1" applyFont="1" applyFill="1" applyBorder="1" applyProtection="1"/>
    <xf numFmtId="164" fontId="4" fillId="0" borderId="10" xfId="42" applyNumberFormat="1" applyFont="1" applyBorder="1" applyProtection="1"/>
    <xf numFmtId="0" fontId="0" fillId="0" borderId="0" xfId="0" applyAlignment="1">
      <alignment horizontal="center"/>
    </xf>
    <xf numFmtId="0" fontId="3" fillId="24" borderId="0" xfId="0" applyFont="1" applyFill="1" applyAlignment="1">
      <alignment horizontal="center"/>
    </xf>
    <xf numFmtId="39" fontId="0" fillId="0" borderId="0" xfId="0" applyNumberFormat="1"/>
    <xf numFmtId="39" fontId="0" fillId="0" borderId="14" xfId="0" applyNumberFormat="1" applyBorder="1"/>
    <xf numFmtId="39" fontId="0" fillId="0" borderId="15" xfId="0" applyNumberFormat="1" applyBorder="1"/>
    <xf numFmtId="39" fontId="0" fillId="0" borderId="16" xfId="0" applyNumberFormat="1" applyBorder="1"/>
    <xf numFmtId="14" fontId="5" fillId="0" borderId="10" xfId="0" applyNumberFormat="1" applyFont="1" applyFill="1" applyBorder="1" applyProtection="1"/>
    <xf numFmtId="0" fontId="0" fillId="0" borderId="17" xfId="0" applyBorder="1"/>
    <xf numFmtId="0" fontId="36" fillId="25" borderId="18" xfId="0" applyNumberFormat="1" applyFont="1" applyFill="1" applyBorder="1"/>
    <xf numFmtId="0" fontId="36" fillId="25" borderId="19" xfId="0" applyFont="1" applyFill="1" applyBorder="1"/>
    <xf numFmtId="10" fontId="36" fillId="25" borderId="19" xfId="0" applyNumberFormat="1" applyFont="1" applyFill="1" applyBorder="1"/>
    <xf numFmtId="0" fontId="36" fillId="25" borderId="20" xfId="0" applyNumberFormat="1" applyFont="1" applyFill="1" applyBorder="1" applyAlignment="1">
      <alignment horizontal="left"/>
    </xf>
    <xf numFmtId="0" fontId="36" fillId="25" borderId="0" xfId="0" applyFont="1" applyFill="1" applyBorder="1"/>
    <xf numFmtId="10" fontId="36" fillId="25" borderId="0" xfId="0" applyNumberFormat="1" applyFont="1" applyFill="1" applyBorder="1"/>
    <xf numFmtId="0" fontId="36" fillId="25" borderId="17" xfId="0" applyFont="1" applyFill="1" applyBorder="1"/>
    <xf numFmtId="0" fontId="36" fillId="25" borderId="14" xfId="0" applyFont="1" applyFill="1" applyBorder="1"/>
    <xf numFmtId="0" fontId="36" fillId="25" borderId="15" xfId="0" applyFont="1" applyFill="1" applyBorder="1"/>
    <xf numFmtId="0" fontId="36" fillId="25" borderId="21" xfId="0" applyNumberFormat="1" applyFont="1" applyFill="1" applyBorder="1" applyAlignment="1">
      <alignment horizontal="left"/>
    </xf>
    <xf numFmtId="0" fontId="5" fillId="26" borderId="10" xfId="0" applyNumberFormat="1" applyFont="1" applyFill="1" applyBorder="1" applyProtection="1">
      <protection locked="0"/>
    </xf>
    <xf numFmtId="44" fontId="5" fillId="26" borderId="10" xfId="29" applyFont="1" applyFill="1" applyBorder="1" applyProtection="1">
      <protection locked="0"/>
    </xf>
    <xf numFmtId="0" fontId="5" fillId="26" borderId="10" xfId="28" applyNumberFormat="1" applyFont="1" applyFill="1" applyBorder="1" applyAlignment="1" applyProtection="1">
      <alignment horizontal="center"/>
      <protection locked="0"/>
    </xf>
    <xf numFmtId="0" fontId="5" fillId="26" borderId="10" xfId="28" quotePrefix="1" applyNumberFormat="1" applyFont="1" applyFill="1" applyBorder="1" applyAlignment="1" applyProtection="1">
      <alignment horizontal="center"/>
      <protection locked="0"/>
    </xf>
    <xf numFmtId="10" fontId="1" fillId="26" borderId="10" xfId="42" applyNumberFormat="1" applyFont="1" applyFill="1" applyBorder="1" applyProtection="1">
      <protection locked="0"/>
    </xf>
    <xf numFmtId="10" fontId="1" fillId="26" borderId="12" xfId="42" applyNumberFormat="1" applyFont="1" applyFill="1" applyBorder="1" applyProtection="1">
      <protection locked="0"/>
    </xf>
    <xf numFmtId="10" fontId="5" fillId="26" borderId="13" xfId="42" applyNumberFormat="1" applyFont="1" applyFill="1" applyBorder="1" applyAlignment="1" applyProtection="1">
      <protection locked="0"/>
    </xf>
    <xf numFmtId="10" fontId="1" fillId="26" borderId="10" xfId="42" applyNumberFormat="1" applyFont="1" applyFill="1" applyBorder="1" applyAlignment="1" applyProtection="1">
      <protection locked="0"/>
    </xf>
    <xf numFmtId="0" fontId="3" fillId="27" borderId="10" xfId="28" applyNumberFormat="1" applyFont="1" applyFill="1" applyBorder="1" applyAlignment="1" applyProtection="1">
      <alignment horizontal="left"/>
    </xf>
    <xf numFmtId="10" fontId="3" fillId="27" borderId="10" xfId="0" applyNumberFormat="1" applyFont="1" applyFill="1" applyBorder="1" applyAlignment="1">
      <alignment horizontal="center" wrapText="1"/>
    </xf>
    <xf numFmtId="0" fontId="3" fillId="27" borderId="10" xfId="0" applyFont="1" applyFill="1" applyBorder="1" applyAlignment="1">
      <alignment horizontal="center" wrapText="1"/>
    </xf>
    <xf numFmtId="0" fontId="0" fillId="27" borderId="10" xfId="0" applyFill="1" applyBorder="1" applyAlignment="1"/>
    <xf numFmtId="164" fontId="0" fillId="27" borderId="10" xfId="0" applyNumberFormat="1" applyFill="1" applyBorder="1" applyAlignment="1"/>
    <xf numFmtId="43" fontId="1" fillId="27" borderId="10" xfId="28" applyFont="1" applyFill="1" applyBorder="1" applyAlignment="1"/>
    <xf numFmtId="43" fontId="5" fillId="27" borderId="10" xfId="28" applyFont="1" applyFill="1" applyBorder="1" applyAlignment="1" applyProtection="1"/>
    <xf numFmtId="0" fontId="3" fillId="27" borderId="0" xfId="28" applyNumberFormat="1" applyFont="1" applyFill="1" applyProtection="1"/>
    <xf numFmtId="39" fontId="1" fillId="27" borderId="10" xfId="28" applyNumberFormat="1" applyFont="1" applyFill="1" applyBorder="1" applyAlignment="1" applyProtection="1"/>
    <xf numFmtId="10" fontId="5" fillId="27" borderId="10" xfId="42" applyNumberFormat="1" applyFont="1" applyFill="1" applyBorder="1" applyAlignment="1" applyProtection="1"/>
    <xf numFmtId="43" fontId="9" fillId="27" borderId="10" xfId="28" applyFont="1" applyFill="1" applyBorder="1" applyAlignment="1" applyProtection="1"/>
    <xf numFmtId="0" fontId="0" fillId="27" borderId="10" xfId="0" applyFill="1" applyBorder="1" applyAlignment="1" applyProtection="1"/>
    <xf numFmtId="39" fontId="0" fillId="27" borderId="22" xfId="0" applyNumberFormat="1" applyFill="1" applyBorder="1" applyProtection="1"/>
    <xf numFmtId="164" fontId="5" fillId="27" borderId="10" xfId="42" applyNumberFormat="1" applyFont="1" applyFill="1" applyBorder="1" applyProtection="1"/>
    <xf numFmtId="43" fontId="9" fillId="27" borderId="10" xfId="28" applyFont="1" applyFill="1" applyBorder="1" applyAlignment="1"/>
    <xf numFmtId="10" fontId="3" fillId="28" borderId="23" xfId="0" applyNumberFormat="1" applyFont="1" applyFill="1" applyBorder="1" applyAlignment="1">
      <alignment horizontal="center" wrapText="1"/>
    </xf>
    <xf numFmtId="164" fontId="32" fillId="28" borderId="24" xfId="42" applyNumberFormat="1" applyFont="1" applyFill="1" applyBorder="1" applyProtection="1"/>
    <xf numFmtId="164" fontId="0" fillId="28" borderId="24" xfId="0" applyNumberFormat="1" applyFill="1" applyBorder="1" applyAlignment="1"/>
    <xf numFmtId="164" fontId="4" fillId="28" borderId="24" xfId="42" applyNumberFormat="1" applyFont="1" applyFill="1" applyBorder="1" applyProtection="1"/>
    <xf numFmtId="164" fontId="5" fillId="28" borderId="25" xfId="42" applyNumberFormat="1" applyFont="1" applyFill="1" applyBorder="1" applyProtection="1"/>
    <xf numFmtId="10" fontId="3" fillId="27" borderId="26" xfId="0" applyNumberFormat="1" applyFont="1" applyFill="1" applyBorder="1" applyAlignment="1">
      <alignment horizontal="center" wrapText="1"/>
    </xf>
    <xf numFmtId="10" fontId="3" fillId="27" borderId="27" xfId="0" applyNumberFormat="1" applyFont="1" applyFill="1" applyBorder="1" applyAlignment="1">
      <alignment horizontal="center" wrapText="1"/>
    </xf>
    <xf numFmtId="39" fontId="3" fillId="0" borderId="28" xfId="0" applyNumberFormat="1" applyFont="1" applyFill="1" applyBorder="1"/>
    <xf numFmtId="39" fontId="3" fillId="27" borderId="28" xfId="0" applyNumberFormat="1" applyFont="1" applyFill="1" applyBorder="1"/>
    <xf numFmtId="10" fontId="3" fillId="27" borderId="29" xfId="0" applyNumberFormat="1" applyFont="1" applyFill="1" applyBorder="1"/>
    <xf numFmtId="39" fontId="3" fillId="27" borderId="30" xfId="0" applyNumberFormat="1" applyFont="1" applyFill="1" applyBorder="1"/>
    <xf numFmtId="0" fontId="3" fillId="27" borderId="31" xfId="28" applyNumberFormat="1" applyFont="1" applyFill="1" applyBorder="1" applyAlignment="1" applyProtection="1">
      <alignment horizontal="left"/>
    </xf>
    <xf numFmtId="0" fontId="0" fillId="27" borderId="32" xfId="0" applyFill="1" applyBorder="1" applyAlignment="1"/>
    <xf numFmtId="164" fontId="0" fillId="27" borderId="22" xfId="0" applyNumberFormat="1" applyFill="1" applyBorder="1" applyAlignment="1"/>
    <xf numFmtId="0" fontId="10" fillId="27" borderId="31" xfId="28" applyNumberFormat="1" applyFont="1" applyFill="1" applyBorder="1" applyAlignment="1" applyProtection="1">
      <alignment horizontal="left"/>
    </xf>
    <xf numFmtId="43" fontId="1" fillId="27" borderId="22" xfId="28" applyFont="1" applyFill="1" applyBorder="1" applyAlignment="1"/>
    <xf numFmtId="0" fontId="37" fillId="0" borderId="0" xfId="0" applyFont="1" applyBorder="1"/>
    <xf numFmtId="10" fontId="0" fillId="0" borderId="0" xfId="0" applyNumberFormat="1" applyBorder="1"/>
    <xf numFmtId="0" fontId="37" fillId="0" borderId="19" xfId="0" applyFont="1" applyBorder="1"/>
    <xf numFmtId="39" fontId="0" fillId="0" borderId="0" xfId="0" applyNumberFormat="1" applyBorder="1"/>
    <xf numFmtId="0" fontId="3" fillId="0" borderId="0" xfId="28" applyNumberFormat="1" applyFont="1" applyFill="1" applyProtection="1"/>
    <xf numFmtId="39" fontId="1" fillId="0" borderId="0" xfId="28" applyNumberFormat="1" applyFont="1" applyFill="1" applyBorder="1" applyAlignment="1" applyProtection="1"/>
    <xf numFmtId="10" fontId="5" fillId="0" borderId="0" xfId="42" applyNumberFormat="1" applyFont="1" applyFill="1" applyBorder="1" applyAlignment="1" applyProtection="1"/>
    <xf numFmtId="43" fontId="9" fillId="0" borderId="0" xfId="28" applyFont="1" applyFill="1" applyBorder="1" applyAlignment="1" applyProtection="1"/>
    <xf numFmtId="0" fontId="0" fillId="0" borderId="0" xfId="0" applyFill="1" applyBorder="1" applyAlignment="1" applyProtection="1"/>
    <xf numFmtId="39" fontId="0" fillId="0" borderId="0" xfId="0" applyNumberFormat="1" applyFill="1" applyBorder="1" applyProtection="1"/>
    <xf numFmtId="164" fontId="5" fillId="0" borderId="0" xfId="42" applyNumberFormat="1" applyFont="1" applyFill="1" applyBorder="1" applyProtection="1"/>
    <xf numFmtId="10" fontId="3" fillId="0" borderId="0" xfId="0" applyNumberFormat="1" applyFont="1" applyFill="1" applyBorder="1"/>
    <xf numFmtId="39" fontId="3" fillId="0" borderId="0" xfId="0" applyNumberFormat="1" applyFont="1" applyFill="1" applyBorder="1"/>
    <xf numFmtId="10" fontId="3" fillId="0" borderId="19" xfId="0" applyNumberFormat="1" applyFont="1" applyFill="1" applyBorder="1"/>
    <xf numFmtId="39" fontId="3" fillId="0" borderId="19" xfId="0" applyNumberFormat="1" applyFont="1" applyFill="1" applyBorder="1"/>
    <xf numFmtId="0" fontId="0" fillId="0" borderId="18" xfId="0" applyBorder="1"/>
    <xf numFmtId="164" fontId="0" fillId="0" borderId="19" xfId="0" applyNumberFormat="1" applyBorder="1"/>
    <xf numFmtId="0" fontId="0" fillId="0" borderId="20" xfId="0" applyBorder="1"/>
    <xf numFmtId="164" fontId="0" fillId="0" borderId="0" xfId="0" applyNumberFormat="1" applyBorder="1"/>
    <xf numFmtId="0" fontId="0" fillId="0" borderId="21" xfId="0" applyBorder="1"/>
    <xf numFmtId="164" fontId="0" fillId="0" borderId="17" xfId="0" applyNumberFormat="1" applyBorder="1"/>
    <xf numFmtId="0" fontId="38" fillId="0" borderId="0" xfId="28" applyNumberFormat="1" applyFont="1" applyFill="1" applyProtection="1"/>
    <xf numFmtId="0" fontId="37" fillId="0" borderId="17" xfId="0" applyFont="1" applyBorder="1"/>
    <xf numFmtId="10" fontId="3" fillId="0" borderId="33" xfId="0" applyNumberFormat="1" applyFont="1" applyFill="1" applyBorder="1" applyProtection="1"/>
    <xf numFmtId="10" fontId="3" fillId="27" borderId="33" xfId="0" applyNumberFormat="1" applyFont="1" applyFill="1" applyBorder="1" applyProtection="1"/>
    <xf numFmtId="0" fontId="39" fillId="25" borderId="17" xfId="0" applyFont="1" applyFill="1" applyBorder="1"/>
    <xf numFmtId="0" fontId="39" fillId="25" borderId="16" xfId="0" applyFont="1" applyFill="1" applyBorder="1"/>
    <xf numFmtId="10" fontId="5" fillId="0" borderId="0" xfId="0" applyNumberFormat="1" applyFont="1" applyProtection="1"/>
    <xf numFmtId="10" fontId="3" fillId="0" borderId="0" xfId="0" applyNumberFormat="1" applyFont="1" applyBorder="1" applyAlignment="1" applyProtection="1">
      <alignment horizontal="center" wrapText="1"/>
    </xf>
    <xf numFmtId="10" fontId="3" fillId="0" borderId="11" xfId="0" applyNumberFormat="1" applyFont="1" applyBorder="1" applyAlignment="1" applyProtection="1">
      <alignment horizontal="center" wrapText="1"/>
    </xf>
    <xf numFmtId="0" fontId="5" fillId="0" borderId="32" xfId="0" applyFont="1" applyFill="1" applyBorder="1" applyProtection="1"/>
    <xf numFmtId="0" fontId="0" fillId="0" borderId="0" xfId="0" applyNumberFormat="1" applyFill="1" applyBorder="1" applyProtection="1"/>
    <xf numFmtId="0" fontId="0" fillId="27" borderId="32" xfId="0" applyFill="1" applyBorder="1" applyAlignment="1" applyProtection="1"/>
    <xf numFmtId="0" fontId="30" fillId="0" borderId="0" xfId="0" applyNumberFormat="1" applyFont="1" applyProtection="1"/>
    <xf numFmtId="0" fontId="30" fillId="0" borderId="0" xfId="0" applyNumberFormat="1" applyFont="1" applyAlignment="1">
      <alignment horizontal="left"/>
    </xf>
    <xf numFmtId="0" fontId="30" fillId="0" borderId="0" xfId="0" quotePrefix="1" applyNumberFormat="1" applyFont="1" applyAlignment="1">
      <alignment horizontal="left"/>
    </xf>
    <xf numFmtId="0" fontId="30" fillId="0" borderId="0" xfId="0" applyNumberFormat="1" applyFont="1"/>
    <xf numFmtId="0" fontId="33" fillId="0" borderId="0" xfId="0" applyNumberFormat="1" applyFont="1"/>
    <xf numFmtId="0" fontId="5" fillId="0" borderId="0" xfId="0" quotePrefix="1" applyFont="1" applyAlignment="1">
      <alignment horizontal="left"/>
    </xf>
    <xf numFmtId="0" fontId="0" fillId="0" borderId="0" xfId="0" quotePrefix="1" applyAlignment="1">
      <alignment horizontal="left"/>
    </xf>
    <xf numFmtId="0" fontId="37" fillId="29" borderId="10" xfId="0" applyNumberFormat="1" applyFont="1" applyFill="1" applyBorder="1" applyProtection="1">
      <protection locked="0"/>
    </xf>
    <xf numFmtId="44" fontId="37" fillId="29" borderId="10" xfId="29" applyFont="1" applyFill="1" applyBorder="1" applyProtection="1"/>
    <xf numFmtId="165" fontId="5" fillId="26" borderId="10" xfId="42" applyNumberFormat="1" applyFont="1" applyFill="1" applyBorder="1" applyProtection="1">
      <protection locked="0"/>
    </xf>
    <xf numFmtId="0" fontId="37" fillId="29" borderId="10" xfId="28" applyNumberFormat="1" applyFont="1" applyFill="1" applyBorder="1" applyAlignment="1" applyProtection="1">
      <alignment horizontal="center"/>
      <protection locked="0"/>
    </xf>
    <xf numFmtId="39" fontId="37" fillId="29" borderId="10" xfId="28" applyNumberFormat="1" applyFont="1" applyFill="1" applyBorder="1"/>
    <xf numFmtId="10" fontId="37" fillId="29" borderId="10" xfId="42" applyNumberFormat="1" applyFont="1" applyFill="1" applyBorder="1" applyProtection="1">
      <protection locked="0"/>
    </xf>
    <xf numFmtId="39" fontId="37" fillId="29" borderId="10" xfId="0" applyNumberFormat="1" applyFont="1" applyFill="1" applyBorder="1" applyProtection="1"/>
    <xf numFmtId="164" fontId="37" fillId="29" borderId="10" xfId="42" applyNumberFormat="1" applyFont="1" applyFill="1" applyBorder="1" applyProtection="1"/>
    <xf numFmtId="164" fontId="37" fillId="29" borderId="24" xfId="42" applyNumberFormat="1" applyFont="1" applyFill="1" applyBorder="1" applyProtection="1"/>
    <xf numFmtId="10" fontId="38" fillId="29" borderId="33" xfId="0" applyNumberFormat="1" applyFont="1" applyFill="1" applyBorder="1" applyProtection="1"/>
    <xf numFmtId="39" fontId="38" fillId="29" borderId="28" xfId="0" applyNumberFormat="1" applyFont="1" applyFill="1" applyBorder="1"/>
    <xf numFmtId="0" fontId="5" fillId="0" borderId="0" xfId="0" applyFont="1" applyAlignment="1">
      <alignment horizontal="left"/>
    </xf>
    <xf numFmtId="0" fontId="30" fillId="0" borderId="0" xfId="0" applyNumberFormat="1" applyFont="1" applyAlignment="1">
      <alignment wrapText="1"/>
    </xf>
    <xf numFmtId="0" fontId="2" fillId="30" borderId="19" xfId="0" applyNumberFormat="1" applyFont="1" applyFill="1" applyBorder="1" applyAlignment="1">
      <alignment horizontal="center"/>
    </xf>
    <xf numFmtId="0" fontId="2" fillId="30" borderId="0" xfId="0" applyNumberFormat="1" applyFont="1" applyFill="1" applyBorder="1" applyAlignment="1">
      <alignment horizontal="center"/>
    </xf>
    <xf numFmtId="0" fontId="2" fillId="30" borderId="17" xfId="0" applyNumberFormat="1" applyFont="1" applyFill="1" applyBorder="1" applyAlignment="1">
      <alignment horizontal="center"/>
    </xf>
    <xf numFmtId="0" fontId="3" fillId="27" borderId="34" xfId="0" applyFont="1" applyFill="1" applyBorder="1" applyAlignment="1">
      <alignment horizontal="center"/>
    </xf>
    <xf numFmtId="0" fontId="2" fillId="30" borderId="18" xfId="0" applyNumberFormat="1" applyFont="1" applyFill="1" applyBorder="1" applyAlignment="1"/>
    <xf numFmtId="0" fontId="2" fillId="30" borderId="19" xfId="0" applyNumberFormat="1" applyFont="1" applyFill="1" applyBorder="1" applyAlignment="1"/>
    <xf numFmtId="0" fontId="2" fillId="30" borderId="14" xfId="0" applyNumberFormat="1" applyFont="1" applyFill="1" applyBorder="1" applyAlignment="1"/>
    <xf numFmtId="0" fontId="2" fillId="30" borderId="20" xfId="0" applyNumberFormat="1" applyFont="1" applyFill="1" applyBorder="1" applyAlignment="1"/>
    <xf numFmtId="0" fontId="2" fillId="30" borderId="0" xfId="0" applyNumberFormat="1" applyFont="1" applyFill="1" applyBorder="1" applyAlignment="1"/>
    <xf numFmtId="0" fontId="2" fillId="30" borderId="15" xfId="0" applyNumberFormat="1" applyFont="1" applyFill="1" applyBorder="1" applyAlignment="1"/>
    <xf numFmtId="0" fontId="2" fillId="30" borderId="21" xfId="0" applyNumberFormat="1" applyFont="1" applyFill="1" applyBorder="1" applyAlignment="1"/>
    <xf numFmtId="0" fontId="2" fillId="30" borderId="17" xfId="0" applyNumberFormat="1" applyFont="1" applyFill="1" applyBorder="1" applyAlignment="1"/>
    <xf numFmtId="0" fontId="2" fillId="30" borderId="16" xfId="0" applyNumberFormat="1" applyFont="1" applyFill="1" applyBorder="1" applyAlignment="1"/>
    <xf numFmtId="0" fontId="2" fillId="0" borderId="0" xfId="0" applyNumberFormat="1" applyFont="1" applyFill="1" applyBorder="1" applyAlignment="1"/>
    <xf numFmtId="0" fontId="0" fillId="30" borderId="19" xfId="0" applyFill="1" applyBorder="1"/>
    <xf numFmtId="0" fontId="0" fillId="30" borderId="0" xfId="0" applyFill="1" applyBorder="1"/>
    <xf numFmtId="0" fontId="0" fillId="30" borderId="17" xfId="0" applyFill="1" applyBorder="1"/>
    <xf numFmtId="0" fontId="1" fillId="0" borderId="0" xfId="0" applyFont="1" applyProtection="1"/>
    <xf numFmtId="0" fontId="40" fillId="0" borderId="0" xfId="0" applyFont="1"/>
    <xf numFmtId="0" fontId="0" fillId="0" borderId="0" xfId="0" applyProtection="1">
      <protection locked="0"/>
    </xf>
    <xf numFmtId="166" fontId="0" fillId="0" borderId="0" xfId="0" applyNumberFormat="1"/>
    <xf numFmtId="166" fontId="0" fillId="32" borderId="10" xfId="0" applyNumberFormat="1" applyFill="1" applyBorder="1" applyProtection="1">
      <protection locked="0"/>
    </xf>
    <xf numFmtId="166" fontId="41" fillId="0" borderId="0" xfId="0" applyNumberFormat="1" applyFont="1"/>
    <xf numFmtId="0" fontId="0" fillId="33" borderId="23" xfId="0" applyFill="1" applyBorder="1"/>
    <xf numFmtId="0" fontId="0" fillId="33" borderId="35" xfId="0" applyFill="1" applyBorder="1"/>
    <xf numFmtId="0" fontId="0" fillId="33" borderId="36" xfId="0" applyFill="1" applyBorder="1"/>
    <xf numFmtId="0" fontId="1" fillId="34" borderId="10" xfId="28" applyNumberFormat="1" applyFont="1" applyFill="1" applyBorder="1" applyAlignment="1" applyProtection="1">
      <alignment horizontal="center"/>
      <protection locked="0"/>
    </xf>
    <xf numFmtId="10" fontId="1" fillId="34" borderId="10" xfId="42" applyNumberFormat="1" applyFont="1" applyFill="1" applyBorder="1" applyProtection="1">
      <protection locked="0"/>
    </xf>
    <xf numFmtId="167" fontId="0" fillId="33" borderId="24" xfId="0" applyNumberFormat="1" applyFill="1" applyBorder="1"/>
    <xf numFmtId="0" fontId="0" fillId="33" borderId="0" xfId="0" applyFill="1"/>
    <xf numFmtId="0" fontId="0" fillId="33" borderId="37" xfId="0" applyFill="1" applyBorder="1"/>
    <xf numFmtId="10" fontId="0" fillId="0" borderId="0" xfId="42" applyNumberFormat="1" applyFont="1" applyFill="1" applyProtection="1"/>
    <xf numFmtId="0" fontId="0" fillId="31" borderId="31" xfId="0" applyFill="1" applyBorder="1" applyAlignment="1">
      <alignment horizontal="center"/>
    </xf>
    <xf numFmtId="0" fontId="42" fillId="31" borderId="32" xfId="0" applyFont="1" applyFill="1" applyBorder="1"/>
    <xf numFmtId="0" fontId="0" fillId="31" borderId="32" xfId="0" applyFill="1" applyBorder="1"/>
    <xf numFmtId="0" fontId="0" fillId="31" borderId="22" xfId="0" applyFill="1" applyBorder="1"/>
    <xf numFmtId="0" fontId="42" fillId="32" borderId="31" xfId="0" applyFont="1" applyFill="1" applyBorder="1" applyAlignment="1">
      <alignment horizontal="center"/>
    </xf>
    <xf numFmtId="0" fontId="42" fillId="32" borderId="32" xfId="0" applyFont="1" applyFill="1" applyBorder="1"/>
    <xf numFmtId="0" fontId="0" fillId="32" borderId="32" xfId="0" applyFill="1" applyBorder="1"/>
    <xf numFmtId="0" fontId="0" fillId="32" borderId="22" xfId="0" applyFill="1" applyBorder="1"/>
    <xf numFmtId="167" fontId="0" fillId="33" borderId="25" xfId="29" applyNumberFormat="1" applyFont="1" applyFill="1" applyBorder="1" applyProtection="1"/>
    <xf numFmtId="0" fontId="0" fillId="33" borderId="11" xfId="0" applyFill="1" applyBorder="1"/>
    <xf numFmtId="0" fontId="0" fillId="33" borderId="38" xfId="0" applyFill="1" applyBorder="1"/>
    <xf numFmtId="0" fontId="42" fillId="34" borderId="31" xfId="0" applyFont="1" applyFill="1" applyBorder="1" applyAlignment="1">
      <alignment horizontal="center"/>
    </xf>
    <xf numFmtId="0" fontId="42" fillId="34" borderId="32" xfId="0" applyFont="1" applyFill="1" applyBorder="1"/>
    <xf numFmtId="0" fontId="0" fillId="34" borderId="32" xfId="0" applyFill="1" applyBorder="1"/>
    <xf numFmtId="0" fontId="0" fillId="34" borderId="22" xfId="0" applyFill="1" applyBorder="1"/>
    <xf numFmtId="0" fontId="43" fillId="0" borderId="0" xfId="0" applyFont="1" applyAlignment="1">
      <alignment horizontal="right"/>
    </xf>
    <xf numFmtId="0" fontId="42" fillId="35" borderId="23" xfId="0" applyFont="1" applyFill="1" applyBorder="1" applyAlignment="1">
      <alignment horizontal="center"/>
    </xf>
    <xf numFmtId="0" fontId="42" fillId="35" borderId="35" xfId="0" applyFont="1" applyFill="1" applyBorder="1"/>
    <xf numFmtId="0" fontId="0" fillId="35" borderId="35" xfId="0" applyFill="1" applyBorder="1"/>
    <xf numFmtId="0" fontId="0" fillId="35" borderId="36" xfId="0" applyFill="1" applyBorder="1"/>
    <xf numFmtId="0" fontId="42" fillId="35" borderId="25" xfId="0" applyFont="1" applyFill="1" applyBorder="1" applyAlignment="1">
      <alignment horizontal="center"/>
    </xf>
    <xf numFmtId="0" fontId="42" fillId="35" borderId="11" xfId="0" applyFont="1" applyFill="1" applyBorder="1"/>
    <xf numFmtId="0" fontId="0" fillId="35" borderId="11" xfId="0" applyFill="1" applyBorder="1"/>
    <xf numFmtId="0" fontId="0" fillId="35" borderId="38" xfId="0" applyFill="1" applyBorder="1"/>
    <xf numFmtId="0" fontId="0" fillId="36" borderId="31" xfId="0" applyFill="1" applyBorder="1" applyAlignment="1">
      <alignment horizontal="center"/>
    </xf>
    <xf numFmtId="0" fontId="0" fillId="36" borderId="32" xfId="0" applyFill="1" applyBorder="1"/>
    <xf numFmtId="0" fontId="0" fillId="36" borderId="22" xfId="0" applyFill="1" applyBorder="1"/>
    <xf numFmtId="167" fontId="0" fillId="0" borderId="0" xfId="0" applyNumberFormat="1"/>
    <xf numFmtId="0" fontId="0" fillId="30" borderId="31" xfId="0" applyFill="1" applyBorder="1" applyAlignment="1">
      <alignment horizontal="center"/>
    </xf>
    <xf numFmtId="0" fontId="0" fillId="30" borderId="32" xfId="0" applyFill="1" applyBorder="1"/>
    <xf numFmtId="0" fontId="0" fillId="30" borderId="22" xfId="0" applyFill="1" applyBorder="1"/>
    <xf numFmtId="0" fontId="1" fillId="35" borderId="10" xfId="28" applyNumberFormat="1" applyFont="1" applyFill="1" applyBorder="1" applyAlignment="1" applyProtection="1">
      <alignment horizontal="center"/>
      <protection locked="0"/>
    </xf>
    <xf numFmtId="10" fontId="1" fillId="35" borderId="10" xfId="42" applyNumberFormat="1" applyFont="1" applyFill="1" applyBorder="1" applyProtection="1">
      <protection locked="0"/>
    </xf>
    <xf numFmtId="44" fontId="0" fillId="33" borderId="35" xfId="29" applyFont="1" applyFill="1" applyBorder="1" applyProtection="1"/>
    <xf numFmtId="10" fontId="0" fillId="33" borderId="10" xfId="42" applyNumberFormat="1" applyFont="1" applyFill="1" applyBorder="1" applyProtection="1"/>
    <xf numFmtId="0" fontId="0" fillId="33" borderId="10" xfId="0" applyFill="1" applyBorder="1"/>
    <xf numFmtId="0" fontId="0" fillId="33" borderId="24" xfId="0" applyFill="1" applyBorder="1"/>
    <xf numFmtId="44" fontId="0" fillId="33" borderId="11" xfId="29" applyFont="1" applyFill="1" applyBorder="1" applyProtection="1"/>
    <xf numFmtId="0" fontId="0" fillId="33" borderId="25" xfId="0" applyFill="1" applyBorder="1"/>
    <xf numFmtId="44" fontId="44" fillId="33" borderId="11" xfId="29" applyFont="1" applyFill="1" applyBorder="1" applyProtection="1"/>
    <xf numFmtId="0" fontId="45" fillId="33" borderId="23" xfId="0" applyFont="1" applyFill="1" applyBorder="1"/>
    <xf numFmtId="8" fontId="44" fillId="33" borderId="11" xfId="0" applyNumberFormat="1" applyFont="1" applyFill="1" applyBorder="1"/>
    <xf numFmtId="0" fontId="1" fillId="30" borderId="10" xfId="28" applyNumberFormat="1" applyFont="1" applyFill="1" applyBorder="1" applyAlignment="1" applyProtection="1">
      <alignment horizontal="center"/>
    </xf>
    <xf numFmtId="10" fontId="1" fillId="30" borderId="10" xfId="42" applyNumberFormat="1" applyFont="1" applyFill="1" applyBorder="1" applyProtection="1"/>
    <xf numFmtId="0" fontId="46" fillId="0" borderId="0" xfId="0" applyFont="1"/>
    <xf numFmtId="10" fontId="0" fillId="36" borderId="0" xfId="0" applyNumberFormat="1" applyFill="1"/>
    <xf numFmtId="166" fontId="0" fillId="36" borderId="35" xfId="0" applyNumberFormat="1" applyFill="1" applyBorder="1"/>
    <xf numFmtId="166" fontId="1" fillId="31" borderId="1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>
      <alignment horizontal="left"/>
    </xf>
    <xf numFmtId="0" fontId="1" fillId="26" borderId="10" xfId="0" applyFont="1" applyFill="1" applyBorder="1" applyAlignment="1" applyProtection="1">
      <alignment horizontal="right"/>
      <protection locked="0"/>
    </xf>
    <xf numFmtId="0" fontId="38" fillId="0" borderId="19" xfId="0" applyFont="1" applyBorder="1"/>
    <xf numFmtId="49" fontId="1" fillId="26" borderId="10" xfId="0" applyNumberFormat="1" applyFont="1" applyFill="1" applyBorder="1" applyAlignment="1" applyProtection="1">
      <alignment horizontal="right" wrapText="1"/>
      <protection locked="0"/>
    </xf>
    <xf numFmtId="0" fontId="1" fillId="26" borderId="10" xfId="28" applyNumberFormat="1" applyFont="1" applyFill="1" applyBorder="1" applyAlignment="1" applyProtection="1">
      <alignment horizontal="center"/>
      <protection locked="0"/>
    </xf>
    <xf numFmtId="0" fontId="0" fillId="30" borderId="23" xfId="0" applyFill="1" applyBorder="1" applyAlignment="1">
      <alignment horizontal="left" vertical="top" wrapText="1"/>
    </xf>
    <xf numFmtId="0" fontId="0" fillId="30" borderId="35" xfId="0" applyFill="1" applyBorder="1" applyAlignment="1">
      <alignment horizontal="left" vertical="top" wrapText="1"/>
    </xf>
    <xf numFmtId="0" fontId="0" fillId="30" borderId="36" xfId="0" applyFill="1" applyBorder="1" applyAlignment="1">
      <alignment horizontal="left" vertical="top" wrapText="1"/>
    </xf>
    <xf numFmtId="0" fontId="0" fillId="30" borderId="24" xfId="0" applyFill="1" applyBorder="1" applyAlignment="1">
      <alignment horizontal="left" vertical="top" wrapText="1"/>
    </xf>
    <xf numFmtId="0" fontId="0" fillId="30" borderId="0" xfId="0" applyFill="1" applyAlignment="1">
      <alignment horizontal="left" vertical="top" wrapText="1"/>
    </xf>
    <xf numFmtId="0" fontId="0" fillId="30" borderId="37" xfId="0" applyFill="1" applyBorder="1" applyAlignment="1">
      <alignment horizontal="left" vertical="top" wrapText="1"/>
    </xf>
    <xf numFmtId="0" fontId="0" fillId="30" borderId="25" xfId="0" applyFill="1" applyBorder="1" applyAlignment="1">
      <alignment horizontal="left" vertical="top" wrapText="1"/>
    </xf>
    <xf numFmtId="0" fontId="0" fillId="30" borderId="11" xfId="0" applyFill="1" applyBorder="1" applyAlignment="1">
      <alignment horizontal="left" vertical="top" wrapText="1"/>
    </xf>
    <xf numFmtId="0" fontId="0" fillId="30" borderId="38" xfId="0" applyFill="1" applyBorder="1" applyAlignment="1">
      <alignment horizontal="left" vertical="top" wrapText="1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 xr:uid="{00000000-0005-0000-0000-000027000000}"/>
    <cellStyle name="Note" xfId="40" builtinId="10" customBuiltin="1"/>
    <cellStyle name="Output" xfId="41" builtinId="21" customBuiltin="1"/>
    <cellStyle name="Percent" xfId="42" builtinId="5"/>
    <cellStyle name="Title" xfId="43" builtinId="15" customBuiltin="1"/>
    <cellStyle name="Total" xfId="44" builtinId="25" customBuiltin="1"/>
    <cellStyle name="Warning Text" xfId="45" builtinId="11" customBuiltin="1"/>
  </cellStyles>
  <dxfs count="2">
    <dxf>
      <font>
        <b/>
        <i val="0"/>
      </font>
      <border>
        <left style="dashDot">
          <color rgb="FF7030A0"/>
        </left>
        <right style="dashDot">
          <color rgb="FF7030A0"/>
        </right>
        <top style="dashDot">
          <color rgb="FF7030A0"/>
        </top>
        <bottom style="dashDot">
          <color rgb="FF7030A0"/>
        </bottom>
      </border>
    </dxf>
    <dxf>
      <font>
        <b/>
        <i val="0"/>
      </font>
      <border>
        <left style="dashDot">
          <color rgb="FF7030A0"/>
        </left>
        <right style="dashDot">
          <color rgb="FF7030A0"/>
        </right>
        <top style="dashDot">
          <color rgb="FF7030A0"/>
        </top>
        <bottom style="dashDot">
          <color rgb="FF7030A0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91"/>
  <sheetViews>
    <sheetView tabSelected="1" topLeftCell="A10" zoomScaleNormal="100" workbookViewId="0">
      <selection activeCell="A27" sqref="A27"/>
    </sheetView>
  </sheetViews>
  <sheetFormatPr defaultRowHeight="12.75" x14ac:dyDescent="0.2"/>
  <cols>
    <col min="1" max="1" width="29.85546875" customWidth="1"/>
    <col min="2" max="2" width="15.85546875" customWidth="1"/>
    <col min="3" max="3" width="15" customWidth="1"/>
    <col min="4" max="4" width="15.28515625" customWidth="1"/>
    <col min="5" max="5" width="16" customWidth="1"/>
    <col min="6" max="6" width="13.28515625" customWidth="1"/>
    <col min="7" max="7" width="13.85546875" customWidth="1"/>
    <col min="8" max="8" width="1.7109375" customWidth="1"/>
    <col min="9" max="9" width="14.7109375" customWidth="1"/>
    <col min="10" max="10" width="14.140625" style="41" bestFit="1" customWidth="1"/>
    <col min="12" max="12" width="12.7109375" customWidth="1"/>
    <col min="14" max="14" width="8.42578125" customWidth="1"/>
    <col min="16" max="16" width="15.28515625" customWidth="1"/>
    <col min="17" max="17" width="2.140625" customWidth="1"/>
  </cols>
  <sheetData>
    <row r="1" spans="1:10" x14ac:dyDescent="0.2">
      <c r="A1" s="47" t="s">
        <v>20</v>
      </c>
      <c r="B1" s="48"/>
      <c r="C1" s="49"/>
      <c r="D1" s="48"/>
      <c r="E1" s="48"/>
      <c r="F1" s="54"/>
      <c r="G1" s="1"/>
      <c r="H1" s="1"/>
    </row>
    <row r="2" spans="1:10" x14ac:dyDescent="0.2">
      <c r="A2" s="50" t="s">
        <v>28</v>
      </c>
      <c r="B2" s="51"/>
      <c r="C2" s="52"/>
      <c r="D2" s="51"/>
      <c r="E2" s="51"/>
      <c r="F2" s="55"/>
      <c r="G2" s="1"/>
      <c r="H2" s="1"/>
    </row>
    <row r="3" spans="1:10" ht="13.5" thickBot="1" x14ac:dyDescent="0.25">
      <c r="A3" s="56" t="s">
        <v>31</v>
      </c>
      <c r="B3" s="53"/>
      <c r="C3" s="53"/>
      <c r="D3" s="121"/>
      <c r="E3" s="121"/>
      <c r="F3" s="122"/>
      <c r="G3" s="1"/>
      <c r="H3" s="1"/>
    </row>
    <row r="4" spans="1:10" ht="15.75" x14ac:dyDescent="0.25">
      <c r="A4" s="153"/>
      <c r="B4" s="149" t="s">
        <v>0</v>
      </c>
      <c r="C4" s="154"/>
      <c r="D4" s="163"/>
      <c r="E4" s="163"/>
      <c r="F4" s="155"/>
      <c r="G4" s="162"/>
      <c r="H4" s="162"/>
      <c r="I4" s="162"/>
      <c r="J4" s="162"/>
    </row>
    <row r="5" spans="1:10" ht="15.75" x14ac:dyDescent="0.25">
      <c r="A5" s="156"/>
      <c r="B5" s="150" t="s">
        <v>1</v>
      </c>
      <c r="C5" s="157"/>
      <c r="D5" s="164"/>
      <c r="E5" s="164"/>
      <c r="F5" s="158"/>
      <c r="G5" s="162"/>
      <c r="H5" s="162"/>
      <c r="I5" s="162"/>
      <c r="J5" s="162"/>
    </row>
    <row r="6" spans="1:10" ht="16.5" thickBot="1" x14ac:dyDescent="0.3">
      <c r="A6" s="159"/>
      <c r="B6" s="151" t="s">
        <v>69</v>
      </c>
      <c r="C6" s="160"/>
      <c r="D6" s="165"/>
      <c r="E6" s="165"/>
      <c r="F6" s="161"/>
      <c r="G6" s="162"/>
      <c r="H6" s="162"/>
      <c r="I6" s="162"/>
      <c r="J6" s="162"/>
    </row>
    <row r="7" spans="1:10" x14ac:dyDescent="0.2">
      <c r="A7" s="2"/>
      <c r="C7" s="3"/>
      <c r="D7" s="5"/>
      <c r="E7" s="4"/>
      <c r="G7" s="1"/>
      <c r="H7" s="1"/>
    </row>
    <row r="8" spans="1:10" ht="15" x14ac:dyDescent="0.25">
      <c r="A8" s="129" t="s">
        <v>2</v>
      </c>
      <c r="B8" s="45">
        <f ca="1">TODAY()</f>
        <v>45336</v>
      </c>
      <c r="C8" s="3"/>
      <c r="D8" s="5"/>
      <c r="E8" s="4"/>
      <c r="F8" s="4"/>
      <c r="G8" s="3"/>
      <c r="H8" s="3"/>
    </row>
    <row r="9" spans="1:10" ht="15" x14ac:dyDescent="0.25">
      <c r="A9" s="129"/>
      <c r="B9" s="4"/>
      <c r="C9" s="3"/>
      <c r="D9" s="5"/>
      <c r="E9" s="4"/>
      <c r="F9" s="4"/>
      <c r="G9" s="3"/>
      <c r="H9" s="3"/>
    </row>
    <row r="10" spans="1:10" ht="15" x14ac:dyDescent="0.25">
      <c r="A10" s="130" t="s">
        <v>3</v>
      </c>
      <c r="B10" s="233"/>
      <c r="C10" s="3"/>
      <c r="D10" s="4"/>
      <c r="E10" s="4"/>
      <c r="F10" s="4"/>
      <c r="G10" s="3"/>
      <c r="H10" s="3"/>
    </row>
    <row r="11" spans="1:10" ht="15" x14ac:dyDescent="0.25">
      <c r="A11" s="131"/>
      <c r="B11" s="126"/>
      <c r="C11" s="3"/>
      <c r="D11" s="4"/>
      <c r="E11" s="4"/>
      <c r="F11" s="166"/>
      <c r="G11" s="3"/>
      <c r="H11" s="3"/>
    </row>
    <row r="12" spans="1:10" ht="15" x14ac:dyDescent="0.25">
      <c r="A12" s="130" t="s">
        <v>30</v>
      </c>
      <c r="B12" s="57">
        <v>2024</v>
      </c>
      <c r="C12" s="123"/>
      <c r="D12" s="136"/>
      <c r="E12" s="4"/>
      <c r="F12" s="4"/>
      <c r="G12" s="3"/>
      <c r="H12" s="3"/>
    </row>
    <row r="13" spans="1:10" ht="15" x14ac:dyDescent="0.25">
      <c r="A13" s="130"/>
      <c r="B13" s="127"/>
      <c r="C13" s="3"/>
      <c r="D13" s="4"/>
      <c r="E13" s="4"/>
      <c r="F13" s="6"/>
      <c r="G13" s="3"/>
      <c r="H13" s="3"/>
    </row>
    <row r="14" spans="1:10" ht="15" x14ac:dyDescent="0.25">
      <c r="A14" s="130" t="s">
        <v>4</v>
      </c>
      <c r="B14" s="58"/>
      <c r="C14" s="3"/>
      <c r="D14" s="4"/>
      <c r="E14" s="4"/>
      <c r="F14" s="6"/>
      <c r="G14" s="3"/>
      <c r="H14" s="3"/>
    </row>
    <row r="15" spans="1:10" ht="15" x14ac:dyDescent="0.25">
      <c r="A15" s="132" t="s">
        <v>5</v>
      </c>
      <c r="B15" s="138"/>
      <c r="C15" s="3"/>
      <c r="D15" s="4"/>
      <c r="F15" s="7"/>
      <c r="G15" s="8"/>
      <c r="H15" s="8"/>
    </row>
    <row r="16" spans="1:10" ht="15" x14ac:dyDescent="0.25">
      <c r="A16" s="132"/>
      <c r="C16" s="3"/>
      <c r="D16" s="4"/>
      <c r="F16" s="9"/>
      <c r="G16" s="10"/>
      <c r="H16" s="10"/>
    </row>
    <row r="17" spans="1:10" ht="15" x14ac:dyDescent="0.25">
      <c r="A17" s="132" t="s">
        <v>6</v>
      </c>
      <c r="B17" s="11">
        <f>+B14*B15</f>
        <v>0</v>
      </c>
      <c r="C17" s="3"/>
      <c r="D17" s="4"/>
      <c r="E17" s="12"/>
      <c r="F17" s="9"/>
      <c r="G17" s="13"/>
      <c r="H17" s="13"/>
    </row>
    <row r="18" spans="1:10" ht="12.75" customHeight="1" x14ac:dyDescent="0.2">
      <c r="C18" s="3"/>
      <c r="D18" s="4"/>
      <c r="E18" s="4"/>
      <c r="F18" s="4"/>
      <c r="G18" s="3"/>
      <c r="H18" s="3"/>
    </row>
    <row r="19" spans="1:10" ht="30" x14ac:dyDescent="0.25">
      <c r="A19" s="148" t="s">
        <v>7</v>
      </c>
      <c r="B19" s="14">
        <f>(VLOOKUP(B12,'NIH Cap Table'!A1:B20,2))*B15</f>
        <v>0</v>
      </c>
      <c r="C19" s="3"/>
      <c r="D19" s="137"/>
      <c r="E19" s="16"/>
      <c r="G19" s="1"/>
      <c r="H19" s="97"/>
      <c r="I19" s="96"/>
    </row>
    <row r="20" spans="1:10" ht="14.25" x14ac:dyDescent="0.2">
      <c r="A20" s="133"/>
      <c r="C20" s="3"/>
      <c r="D20" s="15"/>
      <c r="E20" s="17"/>
      <c r="F20" s="18"/>
      <c r="G20" s="1"/>
      <c r="H20" s="97"/>
      <c r="I20" s="96"/>
    </row>
    <row r="21" spans="1:10" ht="15.75" thickBot="1" x14ac:dyDescent="0.3">
      <c r="A21" s="132" t="s">
        <v>29</v>
      </c>
      <c r="B21" s="231"/>
      <c r="C21" s="124"/>
      <c r="D21" s="20"/>
      <c r="E21" s="20"/>
      <c r="F21" s="20"/>
      <c r="G21" s="19"/>
      <c r="H21" s="19"/>
      <c r="I21" s="96"/>
    </row>
    <row r="22" spans="1:10" ht="13.5" thickBot="1" x14ac:dyDescent="0.25">
      <c r="A22" s="21"/>
      <c r="B22" s="22"/>
      <c r="C22" s="125"/>
      <c r="D22" s="24"/>
      <c r="E22" s="24"/>
      <c r="F22" s="24"/>
      <c r="G22" s="23"/>
      <c r="H22" s="19"/>
      <c r="I22" s="152" t="s">
        <v>27</v>
      </c>
      <c r="J22" s="152" t="s">
        <v>27</v>
      </c>
    </row>
    <row r="23" spans="1:10" ht="38.25" x14ac:dyDescent="0.2">
      <c r="A23" s="65" t="s">
        <v>8</v>
      </c>
      <c r="B23" s="66" t="s">
        <v>21</v>
      </c>
      <c r="C23" s="66" t="s">
        <v>9</v>
      </c>
      <c r="D23" s="67" t="s">
        <v>10</v>
      </c>
      <c r="E23" s="67" t="s">
        <v>22</v>
      </c>
      <c r="F23" s="67" t="s">
        <v>23</v>
      </c>
      <c r="G23" s="66" t="s">
        <v>24</v>
      </c>
      <c r="H23" s="80"/>
      <c r="I23" s="85" t="s">
        <v>25</v>
      </c>
      <c r="J23" s="86" t="s">
        <v>19</v>
      </c>
    </row>
    <row r="24" spans="1:10" x14ac:dyDescent="0.2">
      <c r="A24" s="59"/>
      <c r="B24" s="25">
        <f>+$B$17*C24</f>
        <v>0</v>
      </c>
      <c r="C24" s="61"/>
      <c r="D24" s="79"/>
      <c r="E24" s="68"/>
      <c r="F24" s="26">
        <f>+B24</f>
        <v>0</v>
      </c>
      <c r="G24" s="27" t="e">
        <f>+F24/$F$56</f>
        <v>#DIV/0!</v>
      </c>
      <c r="H24" s="81"/>
      <c r="I24" s="119" t="e">
        <f>ROUND(G24,5)</f>
        <v>#DIV/0!</v>
      </c>
      <c r="J24" s="87" t="e">
        <f>+$B$17*I24</f>
        <v>#DIV/0!</v>
      </c>
    </row>
    <row r="25" spans="1:10" x14ac:dyDescent="0.2">
      <c r="A25" s="59"/>
      <c r="B25" s="25">
        <f>+$B$17*C25</f>
        <v>0</v>
      </c>
      <c r="C25" s="62"/>
      <c r="D25" s="68"/>
      <c r="E25" s="68"/>
      <c r="F25" s="28">
        <f>+B25</f>
        <v>0</v>
      </c>
      <c r="G25" s="29" t="e">
        <f>+F25/$F$56</f>
        <v>#DIV/0!</v>
      </c>
      <c r="H25" s="81"/>
      <c r="I25" s="119" t="e">
        <f>ROUND(G25,5)</f>
        <v>#DIV/0!</v>
      </c>
      <c r="J25" s="87" t="e">
        <f>+$B$17*I25</f>
        <v>#DIV/0!</v>
      </c>
    </row>
    <row r="26" spans="1:10" x14ac:dyDescent="0.2">
      <c r="A26" s="65" t="s">
        <v>18</v>
      </c>
      <c r="B26" s="68"/>
      <c r="C26" s="76"/>
      <c r="D26" s="68"/>
      <c r="E26" s="68"/>
      <c r="F26" s="68"/>
      <c r="G26" s="69"/>
      <c r="H26" s="82"/>
      <c r="I26" s="120"/>
      <c r="J26" s="88"/>
    </row>
    <row r="27" spans="1:10" x14ac:dyDescent="0.2">
      <c r="A27" s="234"/>
      <c r="B27" s="30">
        <f t="shared" ref="B27:B34" si="0">+$B$17*C27</f>
        <v>0</v>
      </c>
      <c r="C27" s="61"/>
      <c r="D27" s="31">
        <f t="shared" ref="D27:D34" si="1">IF($B$17&lt;B$19,B27*1,B$19*C27)</f>
        <v>0</v>
      </c>
      <c r="E27" s="32">
        <f t="shared" ref="E27:E34" si="2">+B27-D27</f>
        <v>0</v>
      </c>
      <c r="F27" s="26">
        <f>+D27</f>
        <v>0</v>
      </c>
      <c r="G27" s="27" t="e">
        <f t="shared" ref="G27:G34" si="3">+F27/$F$56</f>
        <v>#DIV/0!</v>
      </c>
      <c r="H27" s="81"/>
      <c r="I27" s="119" t="e">
        <f t="shared" ref="I27:I34" si="4">ROUND(G27,5)</f>
        <v>#DIV/0!</v>
      </c>
      <c r="J27" s="87" t="e">
        <f t="shared" ref="J27:J34" si="5">+$B$17*I27</f>
        <v>#DIV/0!</v>
      </c>
    </row>
    <row r="28" spans="1:10" x14ac:dyDescent="0.2">
      <c r="A28" s="59"/>
      <c r="B28" s="30">
        <f t="shared" si="0"/>
        <v>0</v>
      </c>
      <c r="C28" s="61"/>
      <c r="D28" s="31">
        <f t="shared" si="1"/>
        <v>0</v>
      </c>
      <c r="E28" s="32">
        <f t="shared" si="2"/>
        <v>0</v>
      </c>
      <c r="F28" s="26">
        <f t="shared" ref="F28:F34" si="6">+D28</f>
        <v>0</v>
      </c>
      <c r="G28" s="27" t="e">
        <f t="shared" si="3"/>
        <v>#DIV/0!</v>
      </c>
      <c r="H28" s="81"/>
      <c r="I28" s="119" t="e">
        <f t="shared" si="4"/>
        <v>#DIV/0!</v>
      </c>
      <c r="J28" s="87" t="e">
        <f t="shared" si="5"/>
        <v>#DIV/0!</v>
      </c>
    </row>
    <row r="29" spans="1:10" x14ac:dyDescent="0.2">
      <c r="A29" s="59"/>
      <c r="B29" s="30">
        <f t="shared" si="0"/>
        <v>0</v>
      </c>
      <c r="C29" s="61"/>
      <c r="D29" s="31">
        <f t="shared" si="1"/>
        <v>0</v>
      </c>
      <c r="E29" s="32">
        <f>+B29-D29</f>
        <v>0</v>
      </c>
      <c r="F29" s="26">
        <f>+D29</f>
        <v>0</v>
      </c>
      <c r="G29" s="27" t="e">
        <f t="shared" si="3"/>
        <v>#DIV/0!</v>
      </c>
      <c r="H29" s="81"/>
      <c r="I29" s="119" t="e">
        <f t="shared" si="4"/>
        <v>#DIV/0!</v>
      </c>
      <c r="J29" s="87" t="e">
        <f t="shared" si="5"/>
        <v>#DIV/0!</v>
      </c>
    </row>
    <row r="30" spans="1:10" x14ac:dyDescent="0.2">
      <c r="A30" s="59"/>
      <c r="B30" s="30">
        <f t="shared" si="0"/>
        <v>0</v>
      </c>
      <c r="C30" s="61"/>
      <c r="D30" s="31">
        <f t="shared" si="1"/>
        <v>0</v>
      </c>
      <c r="E30" s="32">
        <f>+B30-D30</f>
        <v>0</v>
      </c>
      <c r="F30" s="26">
        <f>+D30</f>
        <v>0</v>
      </c>
      <c r="G30" s="27" t="e">
        <f t="shared" si="3"/>
        <v>#DIV/0!</v>
      </c>
      <c r="H30" s="81"/>
      <c r="I30" s="119" t="e">
        <f t="shared" si="4"/>
        <v>#DIV/0!</v>
      </c>
      <c r="J30" s="87" t="e">
        <f t="shared" si="5"/>
        <v>#DIV/0!</v>
      </c>
    </row>
    <row r="31" spans="1:10" x14ac:dyDescent="0.2">
      <c r="A31" s="59"/>
      <c r="B31" s="30">
        <f t="shared" si="0"/>
        <v>0</v>
      </c>
      <c r="C31" s="61"/>
      <c r="D31" s="31">
        <f t="shared" si="1"/>
        <v>0</v>
      </c>
      <c r="E31" s="32">
        <f>+B31-D31</f>
        <v>0</v>
      </c>
      <c r="F31" s="26">
        <f>+D31</f>
        <v>0</v>
      </c>
      <c r="G31" s="27" t="e">
        <f t="shared" si="3"/>
        <v>#DIV/0!</v>
      </c>
      <c r="H31" s="81"/>
      <c r="I31" s="119" t="e">
        <f t="shared" si="4"/>
        <v>#DIV/0!</v>
      </c>
      <c r="J31" s="87" t="e">
        <f t="shared" si="5"/>
        <v>#DIV/0!</v>
      </c>
    </row>
    <row r="32" spans="1:10" x14ac:dyDescent="0.2">
      <c r="A32" s="59"/>
      <c r="B32" s="30">
        <f t="shared" si="0"/>
        <v>0</v>
      </c>
      <c r="C32" s="61"/>
      <c r="D32" s="31">
        <f t="shared" si="1"/>
        <v>0</v>
      </c>
      <c r="E32" s="32">
        <f t="shared" si="2"/>
        <v>0</v>
      </c>
      <c r="F32" s="26">
        <f t="shared" si="6"/>
        <v>0</v>
      </c>
      <c r="G32" s="27" t="e">
        <f t="shared" si="3"/>
        <v>#DIV/0!</v>
      </c>
      <c r="H32" s="81"/>
      <c r="I32" s="119" t="e">
        <f t="shared" si="4"/>
        <v>#DIV/0!</v>
      </c>
      <c r="J32" s="87" t="e">
        <f t="shared" si="5"/>
        <v>#DIV/0!</v>
      </c>
    </row>
    <row r="33" spans="1:10" x14ac:dyDescent="0.2">
      <c r="A33" s="59"/>
      <c r="B33" s="30">
        <f t="shared" si="0"/>
        <v>0</v>
      </c>
      <c r="C33" s="61"/>
      <c r="D33" s="31">
        <f t="shared" si="1"/>
        <v>0</v>
      </c>
      <c r="E33" s="32">
        <f t="shared" si="2"/>
        <v>0</v>
      </c>
      <c r="F33" s="26">
        <f t="shared" si="6"/>
        <v>0</v>
      </c>
      <c r="G33" s="27" t="e">
        <f t="shared" si="3"/>
        <v>#DIV/0!</v>
      </c>
      <c r="H33" s="81"/>
      <c r="I33" s="119" t="e">
        <f t="shared" si="4"/>
        <v>#DIV/0!</v>
      </c>
      <c r="J33" s="87" t="e">
        <f t="shared" si="5"/>
        <v>#DIV/0!</v>
      </c>
    </row>
    <row r="34" spans="1:10" x14ac:dyDescent="0.2">
      <c r="A34" s="59"/>
      <c r="B34" s="30">
        <f t="shared" si="0"/>
        <v>0</v>
      </c>
      <c r="C34" s="61"/>
      <c r="D34" s="31">
        <f t="shared" si="1"/>
        <v>0</v>
      </c>
      <c r="E34" s="32">
        <f t="shared" si="2"/>
        <v>0</v>
      </c>
      <c r="F34" s="26">
        <f t="shared" si="6"/>
        <v>0</v>
      </c>
      <c r="G34" s="27" t="e">
        <f t="shared" si="3"/>
        <v>#DIV/0!</v>
      </c>
      <c r="H34" s="81"/>
      <c r="I34" s="119" t="e">
        <f t="shared" si="4"/>
        <v>#DIV/0!</v>
      </c>
      <c r="J34" s="87" t="e">
        <f t="shared" si="5"/>
        <v>#DIV/0!</v>
      </c>
    </row>
    <row r="35" spans="1:10" x14ac:dyDescent="0.2">
      <c r="A35" s="65" t="s">
        <v>17</v>
      </c>
      <c r="B35" s="68"/>
      <c r="C35" s="76"/>
      <c r="D35" s="68"/>
      <c r="E35" s="68"/>
      <c r="F35" s="68"/>
      <c r="G35" s="69"/>
      <c r="H35" s="82"/>
      <c r="I35" s="120"/>
      <c r="J35" s="88"/>
    </row>
    <row r="36" spans="1:10" x14ac:dyDescent="0.2">
      <c r="A36" s="139"/>
      <c r="B36" s="140"/>
      <c r="C36" s="141"/>
      <c r="D36" s="140"/>
      <c r="E36" s="140"/>
      <c r="F36" s="142"/>
      <c r="G36" s="143"/>
      <c r="H36" s="144"/>
      <c r="I36" s="145"/>
      <c r="J36" s="146"/>
    </row>
    <row r="37" spans="1:10" x14ac:dyDescent="0.2">
      <c r="A37" s="139"/>
      <c r="B37" s="140"/>
      <c r="C37" s="141"/>
      <c r="D37" s="140"/>
      <c r="E37" s="140"/>
      <c r="F37" s="142"/>
      <c r="G37" s="143"/>
      <c r="H37" s="144"/>
      <c r="I37" s="145"/>
      <c r="J37" s="146"/>
    </row>
    <row r="38" spans="1:10" x14ac:dyDescent="0.2">
      <c r="A38" s="91" t="s">
        <v>11</v>
      </c>
      <c r="B38" s="92"/>
      <c r="C38" s="128"/>
      <c r="D38" s="92"/>
      <c r="E38" s="92"/>
      <c r="F38" s="92"/>
      <c r="G38" s="93"/>
      <c r="H38" s="82"/>
      <c r="I38" s="120"/>
      <c r="J38" s="88"/>
    </row>
    <row r="39" spans="1:10" x14ac:dyDescent="0.2">
      <c r="A39" s="234"/>
      <c r="B39" s="33">
        <f t="shared" ref="B39:B46" si="7">+$B$17*C39</f>
        <v>0</v>
      </c>
      <c r="C39" s="63"/>
      <c r="D39" s="79"/>
      <c r="E39" s="68"/>
      <c r="F39" s="34">
        <f t="shared" ref="F39:F46" si="8">+B39</f>
        <v>0</v>
      </c>
      <c r="G39" s="35" t="e">
        <f t="shared" ref="G39:G46" si="9">+F39/$F$56</f>
        <v>#DIV/0!</v>
      </c>
      <c r="H39" s="81"/>
      <c r="I39" s="119" t="e">
        <f>ROUND(G39,5)</f>
        <v>#DIV/0!</v>
      </c>
      <c r="J39" s="87" t="e">
        <f t="shared" ref="J39:J46" si="10">+$B$17*I39</f>
        <v>#DIV/0!</v>
      </c>
    </row>
    <row r="40" spans="1:10" x14ac:dyDescent="0.2">
      <c r="A40" s="59"/>
      <c r="B40" s="36">
        <f t="shared" si="7"/>
        <v>0</v>
      </c>
      <c r="C40" s="64"/>
      <c r="D40" s="68"/>
      <c r="E40" s="68"/>
      <c r="F40" s="37">
        <f t="shared" si="8"/>
        <v>0</v>
      </c>
      <c r="G40" s="27" t="e">
        <f t="shared" si="9"/>
        <v>#DIV/0!</v>
      </c>
      <c r="H40" s="81"/>
      <c r="I40" s="119" t="e">
        <f t="shared" ref="I40:I46" si="11">ROUND(G40,5)</f>
        <v>#DIV/0!</v>
      </c>
      <c r="J40" s="87" t="e">
        <f t="shared" si="10"/>
        <v>#DIV/0!</v>
      </c>
    </row>
    <row r="41" spans="1:10" x14ac:dyDescent="0.2">
      <c r="A41" s="59"/>
      <c r="B41" s="36">
        <f t="shared" si="7"/>
        <v>0</v>
      </c>
      <c r="C41" s="64"/>
      <c r="D41" s="68"/>
      <c r="E41" s="68"/>
      <c r="F41" s="37">
        <f t="shared" si="8"/>
        <v>0</v>
      </c>
      <c r="G41" s="27" t="e">
        <f t="shared" si="9"/>
        <v>#DIV/0!</v>
      </c>
      <c r="H41" s="81"/>
      <c r="I41" s="119" t="e">
        <f t="shared" si="11"/>
        <v>#DIV/0!</v>
      </c>
      <c r="J41" s="87" t="e">
        <f t="shared" si="10"/>
        <v>#DIV/0!</v>
      </c>
    </row>
    <row r="42" spans="1:10" x14ac:dyDescent="0.2">
      <c r="A42" s="59"/>
      <c r="B42" s="36">
        <f t="shared" si="7"/>
        <v>0</v>
      </c>
      <c r="C42" s="64"/>
      <c r="D42" s="68"/>
      <c r="E42" s="68"/>
      <c r="F42" s="37">
        <f t="shared" si="8"/>
        <v>0</v>
      </c>
      <c r="G42" s="27" t="e">
        <f t="shared" si="9"/>
        <v>#DIV/0!</v>
      </c>
      <c r="H42" s="81"/>
      <c r="I42" s="119" t="e">
        <f t="shared" si="11"/>
        <v>#DIV/0!</v>
      </c>
      <c r="J42" s="87" t="e">
        <f t="shared" si="10"/>
        <v>#DIV/0!</v>
      </c>
    </row>
    <row r="43" spans="1:10" x14ac:dyDescent="0.2">
      <c r="A43" s="59"/>
      <c r="B43" s="33">
        <f t="shared" si="7"/>
        <v>0</v>
      </c>
      <c r="C43" s="63"/>
      <c r="D43" s="79"/>
      <c r="E43" s="68"/>
      <c r="F43" s="34">
        <f t="shared" si="8"/>
        <v>0</v>
      </c>
      <c r="G43" s="35" t="e">
        <f t="shared" si="9"/>
        <v>#DIV/0!</v>
      </c>
      <c r="H43" s="81"/>
      <c r="I43" s="119" t="e">
        <f t="shared" si="11"/>
        <v>#DIV/0!</v>
      </c>
      <c r="J43" s="87" t="e">
        <f t="shared" si="10"/>
        <v>#DIV/0!</v>
      </c>
    </row>
    <row r="44" spans="1:10" x14ac:dyDescent="0.2">
      <c r="A44" s="59"/>
      <c r="B44" s="36">
        <f t="shared" si="7"/>
        <v>0</v>
      </c>
      <c r="C44" s="64"/>
      <c r="D44" s="68"/>
      <c r="E44" s="68"/>
      <c r="F44" s="37">
        <f t="shared" si="8"/>
        <v>0</v>
      </c>
      <c r="G44" s="27" t="e">
        <f t="shared" si="9"/>
        <v>#DIV/0!</v>
      </c>
      <c r="H44" s="81"/>
      <c r="I44" s="119" t="e">
        <f t="shared" si="11"/>
        <v>#DIV/0!</v>
      </c>
      <c r="J44" s="87" t="e">
        <f t="shared" si="10"/>
        <v>#DIV/0!</v>
      </c>
    </row>
    <row r="45" spans="1:10" x14ac:dyDescent="0.2">
      <c r="A45" s="59"/>
      <c r="B45" s="36">
        <f t="shared" si="7"/>
        <v>0</v>
      </c>
      <c r="C45" s="64"/>
      <c r="D45" s="68"/>
      <c r="E45" s="68"/>
      <c r="F45" s="37">
        <f t="shared" si="8"/>
        <v>0</v>
      </c>
      <c r="G45" s="27" t="e">
        <f t="shared" si="9"/>
        <v>#DIV/0!</v>
      </c>
      <c r="H45" s="81"/>
      <c r="I45" s="119" t="e">
        <f t="shared" si="11"/>
        <v>#DIV/0!</v>
      </c>
      <c r="J45" s="87" t="e">
        <f t="shared" si="10"/>
        <v>#DIV/0!</v>
      </c>
    </row>
    <row r="46" spans="1:10" x14ac:dyDescent="0.2">
      <c r="A46" s="59"/>
      <c r="B46" s="36">
        <f t="shared" si="7"/>
        <v>0</v>
      </c>
      <c r="C46" s="64"/>
      <c r="D46" s="68"/>
      <c r="E46" s="68"/>
      <c r="F46" s="37">
        <f t="shared" si="8"/>
        <v>0</v>
      </c>
      <c r="G46" s="27" t="e">
        <f t="shared" si="9"/>
        <v>#DIV/0!</v>
      </c>
      <c r="H46" s="81"/>
      <c r="I46" s="119" t="e">
        <f t="shared" si="11"/>
        <v>#DIV/0!</v>
      </c>
      <c r="J46" s="87" t="e">
        <f t="shared" si="10"/>
        <v>#DIV/0!</v>
      </c>
    </row>
    <row r="47" spans="1:10" x14ac:dyDescent="0.2">
      <c r="A47" s="94" t="s">
        <v>12</v>
      </c>
      <c r="B47" s="95"/>
      <c r="C47" s="68"/>
      <c r="D47" s="68"/>
      <c r="E47" s="68"/>
      <c r="F47" s="71"/>
      <c r="G47" s="69"/>
      <c r="H47" s="82"/>
      <c r="I47" s="120"/>
      <c r="J47" s="88"/>
    </row>
    <row r="48" spans="1:10" x14ac:dyDescent="0.2">
      <c r="A48" s="234"/>
      <c r="B48" s="70"/>
      <c r="C48" s="68"/>
      <c r="D48" s="68"/>
      <c r="E48" s="68"/>
      <c r="F48" s="37">
        <f>E27</f>
        <v>0</v>
      </c>
      <c r="G48" s="38" t="e">
        <f t="shared" ref="G48:G55" si="12">+F48/$F$56</f>
        <v>#DIV/0!</v>
      </c>
      <c r="H48" s="83"/>
      <c r="I48" s="119" t="e">
        <f>ROUND(G48,5)</f>
        <v>#DIV/0!</v>
      </c>
      <c r="J48" s="87" t="e">
        <f t="shared" ref="J48:J55" si="13">+$B$17*I48</f>
        <v>#DIV/0!</v>
      </c>
    </row>
    <row r="49" spans="1:10" x14ac:dyDescent="0.2">
      <c r="A49" s="60"/>
      <c r="B49" s="70"/>
      <c r="C49" s="68"/>
      <c r="D49" s="68"/>
      <c r="E49" s="68"/>
      <c r="F49" s="37">
        <f t="shared" ref="F49:F55" si="14">E28</f>
        <v>0</v>
      </c>
      <c r="G49" s="38" t="e">
        <f t="shared" si="12"/>
        <v>#DIV/0!</v>
      </c>
      <c r="H49" s="83"/>
      <c r="I49" s="119" t="e">
        <f t="shared" ref="I49:I55" si="15">ROUND(G49,5)</f>
        <v>#DIV/0!</v>
      </c>
      <c r="J49" s="87" t="e">
        <f t="shared" si="13"/>
        <v>#DIV/0!</v>
      </c>
    </row>
    <row r="50" spans="1:10" x14ac:dyDescent="0.2">
      <c r="A50" s="60"/>
      <c r="B50" s="70"/>
      <c r="C50" s="68"/>
      <c r="D50" s="68"/>
      <c r="E50" s="68"/>
      <c r="F50" s="37">
        <f t="shared" si="14"/>
        <v>0</v>
      </c>
      <c r="G50" s="38" t="e">
        <f t="shared" si="12"/>
        <v>#DIV/0!</v>
      </c>
      <c r="H50" s="83"/>
      <c r="I50" s="119" t="e">
        <f t="shared" si="15"/>
        <v>#DIV/0!</v>
      </c>
      <c r="J50" s="87" t="e">
        <f t="shared" si="13"/>
        <v>#DIV/0!</v>
      </c>
    </row>
    <row r="51" spans="1:10" x14ac:dyDescent="0.2">
      <c r="A51" s="60"/>
      <c r="B51" s="70"/>
      <c r="C51" s="68"/>
      <c r="D51" s="68"/>
      <c r="E51" s="68"/>
      <c r="F51" s="37">
        <f t="shared" si="14"/>
        <v>0</v>
      </c>
      <c r="G51" s="38" t="e">
        <f t="shared" si="12"/>
        <v>#DIV/0!</v>
      </c>
      <c r="H51" s="83"/>
      <c r="I51" s="119" t="e">
        <f t="shared" si="15"/>
        <v>#DIV/0!</v>
      </c>
      <c r="J51" s="87" t="e">
        <f t="shared" si="13"/>
        <v>#DIV/0!</v>
      </c>
    </row>
    <row r="52" spans="1:10" x14ac:dyDescent="0.2">
      <c r="A52" s="60"/>
      <c r="B52" s="70"/>
      <c r="C52" s="68"/>
      <c r="D52" s="68"/>
      <c r="E52" s="68"/>
      <c r="F52" s="37">
        <f t="shared" si="14"/>
        <v>0</v>
      </c>
      <c r="G52" s="38" t="e">
        <f t="shared" si="12"/>
        <v>#DIV/0!</v>
      </c>
      <c r="H52" s="83"/>
      <c r="I52" s="119" t="e">
        <f t="shared" si="15"/>
        <v>#DIV/0!</v>
      </c>
      <c r="J52" s="87" t="e">
        <f t="shared" si="13"/>
        <v>#DIV/0!</v>
      </c>
    </row>
    <row r="53" spans="1:10" x14ac:dyDescent="0.2">
      <c r="A53" s="60"/>
      <c r="B53" s="70"/>
      <c r="C53" s="68"/>
      <c r="D53" s="68"/>
      <c r="E53" s="68"/>
      <c r="F53" s="37">
        <f t="shared" si="14"/>
        <v>0</v>
      </c>
      <c r="G53" s="38" t="e">
        <f t="shared" si="12"/>
        <v>#DIV/0!</v>
      </c>
      <c r="H53" s="83"/>
      <c r="I53" s="119" t="e">
        <f t="shared" si="15"/>
        <v>#DIV/0!</v>
      </c>
      <c r="J53" s="87" t="e">
        <f t="shared" si="13"/>
        <v>#DIV/0!</v>
      </c>
    </row>
    <row r="54" spans="1:10" x14ac:dyDescent="0.2">
      <c r="A54" s="60"/>
      <c r="B54" s="70"/>
      <c r="C54" s="68"/>
      <c r="D54" s="68"/>
      <c r="E54" s="68"/>
      <c r="F54" s="37">
        <f t="shared" si="14"/>
        <v>0</v>
      </c>
      <c r="G54" s="38" t="e">
        <f t="shared" si="12"/>
        <v>#DIV/0!</v>
      </c>
      <c r="H54" s="83"/>
      <c r="I54" s="119" t="e">
        <f t="shared" si="15"/>
        <v>#DIV/0!</v>
      </c>
      <c r="J54" s="87" t="e">
        <f t="shared" si="13"/>
        <v>#DIV/0!</v>
      </c>
    </row>
    <row r="55" spans="1:10" x14ac:dyDescent="0.2">
      <c r="A55" s="60"/>
      <c r="B55" s="70"/>
      <c r="C55" s="68"/>
      <c r="D55" s="68"/>
      <c r="E55" s="68"/>
      <c r="F55" s="37">
        <f t="shared" si="14"/>
        <v>0</v>
      </c>
      <c r="G55" s="38" t="e">
        <f t="shared" si="12"/>
        <v>#DIV/0!</v>
      </c>
      <c r="H55" s="83"/>
      <c r="I55" s="119" t="e">
        <f t="shared" si="15"/>
        <v>#DIV/0!</v>
      </c>
      <c r="J55" s="87" t="e">
        <f t="shared" si="13"/>
        <v>#DIV/0!</v>
      </c>
    </row>
    <row r="56" spans="1:10" ht="13.5" thickBot="1" x14ac:dyDescent="0.25">
      <c r="A56" s="72" t="s">
        <v>13</v>
      </c>
      <c r="B56" s="73">
        <f>SUM(B55,B39:B55,B27:B34,B24:B25)</f>
        <v>0</v>
      </c>
      <c r="C56" s="74">
        <f>SUM(C24:C55)</f>
        <v>0</v>
      </c>
      <c r="D56" s="75"/>
      <c r="E56" s="76"/>
      <c r="F56" s="77">
        <f>SUM(F23:F55)</f>
        <v>0</v>
      </c>
      <c r="G56" s="78" t="e">
        <f>SUM(G23:G55)</f>
        <v>#DIV/0!</v>
      </c>
      <c r="H56" s="84"/>
      <c r="I56" s="89" t="e">
        <f>SUM(I24:I55)</f>
        <v>#DIV/0!</v>
      </c>
      <c r="J56" s="90" t="e">
        <f>SUM(J24:J55)</f>
        <v>#DIV/0!</v>
      </c>
    </row>
    <row r="57" spans="1:10" x14ac:dyDescent="0.2">
      <c r="A57" s="100"/>
      <c r="B57" s="101"/>
      <c r="C57" s="102"/>
      <c r="D57" s="103"/>
      <c r="E57" s="104"/>
      <c r="F57" s="105"/>
      <c r="G57" s="106"/>
      <c r="H57" s="106"/>
      <c r="I57" s="109"/>
      <c r="J57" s="110"/>
    </row>
    <row r="58" spans="1:10" x14ac:dyDescent="0.2">
      <c r="A58" s="100"/>
      <c r="B58" s="101"/>
      <c r="C58" s="102"/>
      <c r="D58" s="103"/>
      <c r="E58" s="104"/>
      <c r="F58" s="105"/>
      <c r="G58" s="106"/>
      <c r="H58" s="106"/>
      <c r="I58" s="107"/>
      <c r="J58" s="108"/>
    </row>
    <row r="59" spans="1:10" ht="13.5" thickBot="1" x14ac:dyDescent="0.25">
      <c r="A59" s="117" t="s">
        <v>26</v>
      </c>
      <c r="B59" s="101"/>
      <c r="C59" s="102"/>
      <c r="D59" s="103"/>
      <c r="E59" s="104"/>
      <c r="F59" s="105"/>
      <c r="G59" s="106"/>
      <c r="H59" s="106"/>
      <c r="I59" s="107"/>
      <c r="J59" s="108"/>
    </row>
    <row r="60" spans="1:10" x14ac:dyDescent="0.2">
      <c r="A60" s="111"/>
      <c r="B60" s="98" t="str">
        <f>IF(B56=B17,"","Warning: ")</f>
        <v/>
      </c>
      <c r="C60" s="98" t="str">
        <f>IF(C56=100%,"","Warning: ")</f>
        <v xml:space="preserve">Warning: </v>
      </c>
      <c r="D60" s="98"/>
      <c r="E60" s="98"/>
      <c r="F60" s="98" t="str">
        <f>IF(F56=B17,"","Warning: ")</f>
        <v/>
      </c>
      <c r="G60" s="112"/>
      <c r="H60" s="112"/>
      <c r="I60" s="98" t="e">
        <f>IF(I56=100%,"","Warning: Total s/b 100%")</f>
        <v>#DIV/0!</v>
      </c>
      <c r="J60" s="42"/>
    </row>
    <row r="61" spans="1:10" x14ac:dyDescent="0.2">
      <c r="A61" s="113"/>
      <c r="B61" s="96" t="str">
        <f>IF(B56=B17,"","   Salary Error")</f>
        <v/>
      </c>
      <c r="C61" s="96" t="str">
        <f>IF(C56=100%,"","Does not = 100%")</f>
        <v>Does not = 100%</v>
      </c>
      <c r="D61" s="15"/>
      <c r="E61" s="15"/>
      <c r="F61" s="96" t="str">
        <f>IF(F56=B17,"","Salary out of balance")</f>
        <v/>
      </c>
      <c r="G61" s="114"/>
      <c r="H61" s="114"/>
      <c r="I61" s="96" t="e">
        <f>IF(I56=100%,"","Make manual adj: + or - .0001")</f>
        <v>#DIV/0!</v>
      </c>
      <c r="J61" s="43"/>
    </row>
    <row r="62" spans="1:10" ht="13.5" thickBot="1" x14ac:dyDescent="0.25">
      <c r="A62" s="115"/>
      <c r="B62" s="46"/>
      <c r="C62" s="46"/>
      <c r="D62" s="46"/>
      <c r="E62" s="46"/>
      <c r="F62" s="46"/>
      <c r="G62" s="116"/>
      <c r="H62" s="116"/>
      <c r="I62" s="118" t="e">
        <f>IF(I56=100%,"","to cell I46")</f>
        <v>#DIV/0!</v>
      </c>
      <c r="J62" s="44"/>
    </row>
    <row r="63" spans="1:10" x14ac:dyDescent="0.2">
      <c r="A63" s="15"/>
      <c r="B63" s="15"/>
      <c r="C63" s="15"/>
      <c r="D63" s="15"/>
      <c r="E63" s="15"/>
      <c r="F63" s="15"/>
      <c r="G63" s="114"/>
      <c r="H63" s="114"/>
      <c r="I63" s="15"/>
      <c r="J63" s="99"/>
    </row>
    <row r="64" spans="1:10" x14ac:dyDescent="0.2">
      <c r="A64" s="168"/>
      <c r="B64" s="168"/>
      <c r="C64" s="168"/>
      <c r="J64" s="169"/>
    </row>
    <row r="65" spans="1:18" x14ac:dyDescent="0.2">
      <c r="A65" s="229" t="s">
        <v>68</v>
      </c>
      <c r="B65" s="168"/>
      <c r="C65" s="168"/>
      <c r="D65" t="s">
        <v>42</v>
      </c>
      <c r="J65" s="169"/>
    </row>
    <row r="66" spans="1:18" x14ac:dyDescent="0.2">
      <c r="A66" s="168"/>
      <c r="B66" s="168"/>
      <c r="C66" s="168"/>
      <c r="F66" s="228"/>
      <c r="G66" t="s">
        <v>43</v>
      </c>
      <c r="I66" s="170"/>
      <c r="J66" t="b">
        <f>IF(I66=K69,L69,IF(I66=K70,L70,IF(I66=K71,L71)))</f>
        <v>0</v>
      </c>
    </row>
    <row r="67" spans="1:18" x14ac:dyDescent="0.2">
      <c r="A67" s="168"/>
      <c r="B67" s="168"/>
      <c r="C67" s="168"/>
      <c r="I67" s="169"/>
      <c r="J67"/>
      <c r="K67" s="171"/>
    </row>
    <row r="68" spans="1:18" x14ac:dyDescent="0.2">
      <c r="A68" s="168"/>
      <c r="B68" s="168"/>
      <c r="C68" s="168"/>
      <c r="I68" s="169"/>
      <c r="J68"/>
      <c r="K68" s="172" t="s">
        <v>44</v>
      </c>
      <c r="L68" s="173"/>
      <c r="M68" s="174"/>
    </row>
    <row r="69" spans="1:18" x14ac:dyDescent="0.2">
      <c r="A69" t="s">
        <v>45</v>
      </c>
      <c r="F69" s="175"/>
      <c r="G69" s="176"/>
      <c r="I69" s="169">
        <f t="shared" ref="I69:I89" si="16">$F$66*G69</f>
        <v>0</v>
      </c>
      <c r="J69"/>
      <c r="K69" s="177">
        <v>94000</v>
      </c>
      <c r="L69" s="178" t="s">
        <v>46</v>
      </c>
      <c r="M69" s="179"/>
      <c r="Q69" s="180"/>
      <c r="R69" s="180"/>
    </row>
    <row r="70" spans="1:18" x14ac:dyDescent="0.2">
      <c r="A70" s="181">
        <v>1</v>
      </c>
      <c r="B70" s="182" t="s">
        <v>47</v>
      </c>
      <c r="C70" s="183"/>
      <c r="D70" s="183"/>
      <c r="E70" s="184"/>
      <c r="F70" s="175"/>
      <c r="G70" s="176"/>
      <c r="I70" s="169">
        <f t="shared" si="16"/>
        <v>0</v>
      </c>
      <c r="J70"/>
      <c r="K70" s="177">
        <v>125000</v>
      </c>
      <c r="L70" s="178" t="s">
        <v>48</v>
      </c>
      <c r="M70" s="179"/>
      <c r="Q70" s="180"/>
      <c r="R70" s="180"/>
    </row>
    <row r="71" spans="1:18" x14ac:dyDescent="0.2">
      <c r="A71" s="185">
        <v>2</v>
      </c>
      <c r="B71" s="186" t="s">
        <v>49</v>
      </c>
      <c r="C71" s="187"/>
      <c r="D71" s="187"/>
      <c r="E71" s="188"/>
      <c r="F71" s="175"/>
      <c r="G71" s="176"/>
      <c r="I71" s="169">
        <f t="shared" si="16"/>
        <v>0</v>
      </c>
      <c r="J71"/>
      <c r="K71" s="189">
        <v>178000</v>
      </c>
      <c r="L71" s="190" t="s">
        <v>50</v>
      </c>
      <c r="M71" s="191"/>
    </row>
    <row r="72" spans="1:18" x14ac:dyDescent="0.2">
      <c r="A72" s="192">
        <v>3</v>
      </c>
      <c r="B72" s="193" t="s">
        <v>51</v>
      </c>
      <c r="C72" s="194"/>
      <c r="D72" s="194"/>
      <c r="E72" s="195"/>
      <c r="F72" s="175"/>
      <c r="G72" s="176"/>
      <c r="I72" s="169">
        <f t="shared" si="16"/>
        <v>0</v>
      </c>
      <c r="J72"/>
      <c r="M72" s="196" t="s">
        <v>52</v>
      </c>
    </row>
    <row r="73" spans="1:18" x14ac:dyDescent="0.2">
      <c r="A73" s="197">
        <v>4</v>
      </c>
      <c r="B73" s="198" t="s">
        <v>53</v>
      </c>
      <c r="C73" s="199"/>
      <c r="D73" s="199"/>
      <c r="E73" s="200"/>
      <c r="F73" s="175"/>
      <c r="G73" s="176"/>
      <c r="I73" s="169">
        <f t="shared" si="16"/>
        <v>0</v>
      </c>
      <c r="J73"/>
    </row>
    <row r="74" spans="1:18" x14ac:dyDescent="0.2">
      <c r="A74" s="201"/>
      <c r="B74" s="202" t="s">
        <v>54</v>
      </c>
      <c r="C74" s="203"/>
      <c r="D74" s="203"/>
      <c r="E74" s="204"/>
      <c r="F74" s="175"/>
      <c r="G74" s="176"/>
      <c r="I74" s="169">
        <f t="shared" si="16"/>
        <v>0</v>
      </c>
      <c r="J74"/>
      <c r="K74" s="171"/>
    </row>
    <row r="75" spans="1:18" x14ac:dyDescent="0.2">
      <c r="A75" s="205">
        <v>5</v>
      </c>
      <c r="B75" s="206" t="s">
        <v>55</v>
      </c>
      <c r="C75" s="206"/>
      <c r="D75" s="206"/>
      <c r="E75" s="207"/>
      <c r="F75" s="175"/>
      <c r="G75" s="176"/>
      <c r="I75" s="169">
        <f t="shared" si="16"/>
        <v>0</v>
      </c>
      <c r="J75"/>
      <c r="K75" s="208"/>
    </row>
    <row r="76" spans="1:18" x14ac:dyDescent="0.2">
      <c r="A76" s="209">
        <v>6</v>
      </c>
      <c r="B76" s="210" t="s">
        <v>56</v>
      </c>
      <c r="C76" s="210"/>
      <c r="D76" s="210"/>
      <c r="E76" s="211"/>
      <c r="F76" s="175"/>
      <c r="G76" s="176"/>
      <c r="I76" s="169">
        <f t="shared" si="16"/>
        <v>0</v>
      </c>
      <c r="J76"/>
      <c r="K76" s="208"/>
    </row>
    <row r="77" spans="1:18" x14ac:dyDescent="0.2">
      <c r="F77" s="175"/>
      <c r="G77" s="176"/>
      <c r="I77" s="169">
        <f t="shared" si="16"/>
        <v>0</v>
      </c>
      <c r="J77"/>
      <c r="K77" s="208"/>
    </row>
    <row r="78" spans="1:18" x14ac:dyDescent="0.2">
      <c r="F78" s="175"/>
      <c r="G78" s="176"/>
      <c r="I78" s="169">
        <f t="shared" si="16"/>
        <v>0</v>
      </c>
      <c r="J78"/>
      <c r="K78" s="208"/>
    </row>
    <row r="79" spans="1:18" x14ac:dyDescent="0.2">
      <c r="F79" s="175"/>
      <c r="G79" s="176"/>
      <c r="I79" s="169">
        <f t="shared" si="16"/>
        <v>0</v>
      </c>
      <c r="J79"/>
      <c r="K79" s="208"/>
    </row>
    <row r="80" spans="1:18" x14ac:dyDescent="0.2">
      <c r="F80" s="212"/>
      <c r="G80" s="213"/>
      <c r="I80" s="169">
        <f t="shared" si="16"/>
        <v>0</v>
      </c>
      <c r="J80"/>
    </row>
    <row r="81" spans="2:18" x14ac:dyDescent="0.2">
      <c r="B81" s="235" t="s">
        <v>57</v>
      </c>
      <c r="C81" s="236"/>
      <c r="D81" s="236"/>
      <c r="E81" s="237"/>
      <c r="F81" s="212"/>
      <c r="G81" s="213"/>
      <c r="I81" s="169">
        <f t="shared" si="16"/>
        <v>0</v>
      </c>
      <c r="J81"/>
    </row>
    <row r="82" spans="2:18" x14ac:dyDescent="0.2">
      <c r="B82" s="238"/>
      <c r="C82" s="239"/>
      <c r="D82" s="239"/>
      <c r="E82" s="240"/>
      <c r="F82" s="212"/>
      <c r="G82" s="213"/>
      <c r="I82" s="169">
        <f t="shared" si="16"/>
        <v>0</v>
      </c>
      <c r="J82"/>
      <c r="K82" t="s">
        <v>58</v>
      </c>
      <c r="O82" t="s">
        <v>59</v>
      </c>
    </row>
    <row r="83" spans="2:18" x14ac:dyDescent="0.2">
      <c r="B83" s="238"/>
      <c r="C83" s="239"/>
      <c r="D83" s="239"/>
      <c r="E83" s="240"/>
      <c r="F83" s="212"/>
      <c r="G83" s="213"/>
      <c r="I83" s="169">
        <f t="shared" si="16"/>
        <v>0</v>
      </c>
      <c r="J83"/>
      <c r="K83" s="172" t="s">
        <v>60</v>
      </c>
      <c r="L83" s="214">
        <f>I66</f>
        <v>0</v>
      </c>
      <c r="M83" s="173"/>
      <c r="N83" s="174"/>
      <c r="O83" s="215" t="e">
        <f>MAX(0,L85/F66)</f>
        <v>#DIV/0!</v>
      </c>
      <c r="P83" s="216" t="s">
        <v>61</v>
      </c>
      <c r="Q83" s="1" t="e">
        <f>SUM(G69:G87)+O83</f>
        <v>#DIV/0!</v>
      </c>
      <c r="R83" s="1"/>
    </row>
    <row r="84" spans="2:18" x14ac:dyDescent="0.2">
      <c r="B84" s="241"/>
      <c r="C84" s="242"/>
      <c r="D84" s="242"/>
      <c r="E84" s="243"/>
      <c r="F84" s="212"/>
      <c r="G84" s="213"/>
      <c r="I84" s="169">
        <f t="shared" si="16"/>
        <v>0</v>
      </c>
      <c r="J84"/>
      <c r="K84" s="217" t="s">
        <v>62</v>
      </c>
      <c r="L84" s="218">
        <f>SUM(I69:I79)</f>
        <v>0</v>
      </c>
      <c r="M84" s="178"/>
      <c r="N84" s="179"/>
      <c r="O84" s="215" t="e">
        <f>MAX(0,100%-Q83)</f>
        <v>#DIV/0!</v>
      </c>
      <c r="P84" s="216" t="s">
        <v>63</v>
      </c>
      <c r="Q84" s="1" t="e">
        <f>IF(Q83&gt;100%,100%-Q83)</f>
        <v>#DIV/0!</v>
      </c>
      <c r="R84" s="1"/>
    </row>
    <row r="85" spans="2:18" x14ac:dyDescent="0.2">
      <c r="F85" s="212"/>
      <c r="G85" s="213"/>
      <c r="I85" s="169">
        <f t="shared" si="16"/>
        <v>0</v>
      </c>
      <c r="J85"/>
      <c r="K85" s="219"/>
      <c r="L85" s="220">
        <f>L83-L84</f>
        <v>0</v>
      </c>
      <c r="M85" s="190" t="s">
        <v>64</v>
      </c>
      <c r="N85" s="191"/>
    </row>
    <row r="86" spans="2:18" x14ac:dyDescent="0.2">
      <c r="F86" s="212"/>
      <c r="G86" s="213"/>
      <c r="I86" s="169">
        <f t="shared" si="16"/>
        <v>0</v>
      </c>
      <c r="J86"/>
      <c r="K86" s="221" t="s">
        <v>65</v>
      </c>
      <c r="L86" s="173"/>
      <c r="M86" s="173"/>
      <c r="N86" s="174"/>
    </row>
    <row r="87" spans="2:18" x14ac:dyDescent="0.2">
      <c r="F87" s="212"/>
      <c r="G87" s="213"/>
      <c r="I87" s="169">
        <f t="shared" si="16"/>
        <v>0</v>
      </c>
      <c r="J87"/>
      <c r="K87" s="219"/>
      <c r="L87" s="222" t="e">
        <f>MAX(0,F66-SUM(I69:I88))</f>
        <v>#DIV/0!</v>
      </c>
      <c r="M87" s="190" t="s">
        <v>66</v>
      </c>
      <c r="N87" s="191"/>
    </row>
    <row r="88" spans="2:18" ht="13.5" thickBot="1" x14ac:dyDescent="0.25">
      <c r="F88" s="223">
        <v>112000</v>
      </c>
      <c r="G88" s="224" t="e">
        <f>ROUND(SUM(O83+Q84),4)</f>
        <v>#DIV/0!</v>
      </c>
      <c r="I88" s="169" t="e">
        <f t="shared" si="16"/>
        <v>#DIV/0!</v>
      </c>
      <c r="J88"/>
    </row>
    <row r="89" spans="2:18" x14ac:dyDescent="0.2">
      <c r="F89" s="223">
        <v>114000</v>
      </c>
      <c r="G89" s="224" t="e">
        <f>ROUND(O84,4)</f>
        <v>#DIV/0!</v>
      </c>
      <c r="I89" s="169" t="e">
        <f t="shared" si="16"/>
        <v>#DIV/0!</v>
      </c>
      <c r="J89" s="232" t="e">
        <f>IF(SUM(G80:G87)&lt;G89,"","Warning: ")</f>
        <v>#DIV/0!</v>
      </c>
      <c r="K89" s="98" t="e">
        <f>IF(SUM(G80:G87)&lt;G89,"","Verify 114000 amount with K Wood; cost share greater than MCI component ")</f>
        <v>#DIV/0!</v>
      </c>
    </row>
    <row r="90" spans="2:18" x14ac:dyDescent="0.2">
      <c r="I90" s="169"/>
      <c r="J90"/>
    </row>
    <row r="91" spans="2:18" x14ac:dyDescent="0.2">
      <c r="B91" s="225" t="s">
        <v>67</v>
      </c>
      <c r="G91" s="226" t="e">
        <f>SUM(G69:G89)</f>
        <v>#DIV/0!</v>
      </c>
      <c r="I91" s="227" t="e">
        <f>SUM(I69:I89)</f>
        <v>#DIV/0!</v>
      </c>
      <c r="J91"/>
    </row>
  </sheetData>
  <sheetProtection algorithmName="SHA-512" hashValue="xJkMmQnJJT5exxAtDl1A3DrPCbk0sA+9K4mJLU3BInT+lp5JZRNdeejdYVzyej/jmvBSt9zv+gLgKPFdLOlk5Q==" saltValue="wnfopoBS47z+ejnFV8llqg==" spinCount="100000" sheet="1" selectLockedCells="1"/>
  <mergeCells count="1">
    <mergeCell ref="B81:E84"/>
  </mergeCells>
  <phoneticPr fontId="12" type="noConversion"/>
  <conditionalFormatting sqref="G91">
    <cfRule type="cellIs" dxfId="1" priority="1" operator="greaterThan">
      <formula>1</formula>
    </cfRule>
  </conditionalFormatting>
  <conditionalFormatting sqref="H91">
    <cfRule type="cellIs" dxfId="0" priority="2" operator="greaterThan">
      <formula>1</formula>
    </cfRule>
  </conditionalFormatting>
  <dataValidations count="3">
    <dataValidation type="list" operator="equal" allowBlank="1" showInputMessage="1" showErrorMessage="1" sqref="D12" xr:uid="{00000000-0002-0000-0000-000000000000}">
      <formula1>"2007,2008,2009,2010,2011,2012,2013,2014,2015"</formula1>
    </dataValidation>
    <dataValidation type="list" operator="equal" allowBlank="1" showInputMessage="1" showErrorMessage="1" sqref="B12" xr:uid="{00000000-0002-0000-0000-000001000000}">
      <formula1>"2007,2008,2009,2010,2011,2012,2013,2014,2015,2016,2017,2018,2019,2020,2021,2022,2023,2024"</formula1>
    </dataValidation>
    <dataValidation type="list" showInputMessage="1" showErrorMessage="1" promptTitle="Threshold" prompt="Using chart to the right, please select the correct threshold. " sqref="I66" xr:uid="{00000000-0002-0000-0000-000002000000}">
      <formula1>$K$69:$K$71</formula1>
    </dataValidation>
  </dataValidations>
  <pageMargins left="0" right="0" top="0" bottom="0" header="0" footer="0"/>
  <pageSetup scale="65" orientation="portrait" horizontalDpi="300" verticalDpi="300" r:id="rId1"/>
  <headerFooter alignWithMargins="0"/>
  <rowBreaks count="1" manualBreakCount="1">
    <brk id="63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20"/>
  <sheetViews>
    <sheetView workbookViewId="0">
      <selection activeCell="B19" sqref="B19"/>
    </sheetView>
  </sheetViews>
  <sheetFormatPr defaultRowHeight="12.75" x14ac:dyDescent="0.2"/>
  <cols>
    <col min="1" max="1" width="18.28515625" style="39" customWidth="1"/>
    <col min="2" max="2" width="17.85546875" style="39" customWidth="1"/>
  </cols>
  <sheetData>
    <row r="1" spans="1:3" x14ac:dyDescent="0.2">
      <c r="A1" s="40" t="s">
        <v>14</v>
      </c>
      <c r="B1" s="40" t="s">
        <v>15</v>
      </c>
    </row>
    <row r="2" spans="1:3" x14ac:dyDescent="0.2">
      <c r="A2" s="39">
        <v>0</v>
      </c>
      <c r="B2" s="39" t="s">
        <v>16</v>
      </c>
    </row>
    <row r="3" spans="1:3" x14ac:dyDescent="0.2">
      <c r="A3" s="39">
        <v>2007</v>
      </c>
      <c r="B3" s="39">
        <v>186600</v>
      </c>
    </row>
    <row r="4" spans="1:3" x14ac:dyDescent="0.2">
      <c r="A4" s="39">
        <v>2008</v>
      </c>
      <c r="B4" s="39">
        <v>191300</v>
      </c>
    </row>
    <row r="5" spans="1:3" x14ac:dyDescent="0.2">
      <c r="A5" s="39">
        <v>2009</v>
      </c>
      <c r="B5" s="39">
        <v>196700</v>
      </c>
    </row>
    <row r="6" spans="1:3" x14ac:dyDescent="0.2">
      <c r="A6" s="39">
        <v>2010</v>
      </c>
      <c r="B6" s="39">
        <v>199700</v>
      </c>
    </row>
    <row r="7" spans="1:3" x14ac:dyDescent="0.2">
      <c r="A7" s="39">
        <v>2011</v>
      </c>
      <c r="B7" s="39">
        <v>199700</v>
      </c>
    </row>
    <row r="8" spans="1:3" x14ac:dyDescent="0.2">
      <c r="A8" s="39">
        <v>2012</v>
      </c>
      <c r="B8" s="39">
        <v>179700</v>
      </c>
    </row>
    <row r="9" spans="1:3" x14ac:dyDescent="0.2">
      <c r="A9" s="39">
        <v>2013</v>
      </c>
      <c r="B9" s="39">
        <v>179700</v>
      </c>
      <c r="C9" s="134" t="s">
        <v>32</v>
      </c>
    </row>
    <row r="10" spans="1:3" x14ac:dyDescent="0.2">
      <c r="A10" s="39">
        <v>2014</v>
      </c>
      <c r="B10" s="39">
        <v>181500</v>
      </c>
      <c r="C10" s="135" t="s">
        <v>33</v>
      </c>
    </row>
    <row r="11" spans="1:3" x14ac:dyDescent="0.2">
      <c r="A11" s="39">
        <v>2015</v>
      </c>
      <c r="B11" s="39">
        <v>183300</v>
      </c>
      <c r="C11" s="134" t="s">
        <v>34</v>
      </c>
    </row>
    <row r="12" spans="1:3" x14ac:dyDescent="0.2">
      <c r="A12" s="39">
        <v>2016</v>
      </c>
      <c r="B12" s="39">
        <v>185100</v>
      </c>
      <c r="C12" s="134" t="s">
        <v>35</v>
      </c>
    </row>
    <row r="13" spans="1:3" x14ac:dyDescent="0.2">
      <c r="A13" s="39">
        <v>2017</v>
      </c>
      <c r="B13" s="39">
        <v>187000</v>
      </c>
      <c r="C13" s="134" t="s">
        <v>36</v>
      </c>
    </row>
    <row r="14" spans="1:3" x14ac:dyDescent="0.2">
      <c r="A14" s="39">
        <v>2018</v>
      </c>
      <c r="B14" s="39">
        <v>189600</v>
      </c>
      <c r="C14" s="147" t="s">
        <v>37</v>
      </c>
    </row>
    <row r="15" spans="1:3" x14ac:dyDescent="0.2">
      <c r="A15" s="39">
        <v>2019</v>
      </c>
      <c r="B15" s="39">
        <v>192300</v>
      </c>
      <c r="C15" s="147" t="s">
        <v>38</v>
      </c>
    </row>
    <row r="16" spans="1:3" x14ac:dyDescent="0.2">
      <c r="A16" s="39">
        <v>2020</v>
      </c>
      <c r="B16" s="39">
        <v>197300</v>
      </c>
      <c r="C16" s="147" t="s">
        <v>39</v>
      </c>
    </row>
    <row r="17" spans="1:3" x14ac:dyDescent="0.2">
      <c r="A17" s="39">
        <v>2021</v>
      </c>
      <c r="B17" s="39">
        <v>199300</v>
      </c>
      <c r="C17" s="167" t="s">
        <v>41</v>
      </c>
    </row>
    <row r="18" spans="1:3" x14ac:dyDescent="0.2">
      <c r="A18" s="39">
        <v>2022</v>
      </c>
      <c r="B18" s="39">
        <v>203700</v>
      </c>
      <c r="C18" s="167" t="s">
        <v>40</v>
      </c>
    </row>
    <row r="19" spans="1:3" x14ac:dyDescent="0.2">
      <c r="A19" s="39">
        <v>2023</v>
      </c>
      <c r="B19" s="39">
        <v>212100</v>
      </c>
      <c r="C19" s="230" t="s">
        <v>70</v>
      </c>
    </row>
    <row r="20" spans="1:3" x14ac:dyDescent="0.2">
      <c r="A20" s="39">
        <v>2024</v>
      </c>
      <c r="B20" s="39">
        <v>221900</v>
      </c>
      <c r="C20" s="230" t="s">
        <v>71</v>
      </c>
    </row>
  </sheetData>
  <phoneticPr fontId="1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NIH Cap</vt:lpstr>
      <vt:lpstr>NIH Cap Table</vt:lpstr>
      <vt:lpstr>'NIH Cap'!Print_Area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Durick</dc:creator>
  <cp:lastModifiedBy>jaflowers</cp:lastModifiedBy>
  <cp:lastPrinted>2022-09-21T14:50:13Z</cp:lastPrinted>
  <dcterms:created xsi:type="dcterms:W3CDTF">2010-04-10T03:34:44Z</dcterms:created>
  <dcterms:modified xsi:type="dcterms:W3CDTF">2024-02-14T20:45:29Z</dcterms:modified>
</cp:coreProperties>
</file>